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7785" windowHeight="8205" tabRatio="898" activeTab="7"/>
  </bookViews>
  <sheets>
    <sheet name="Summary" sheetId="42" r:id="rId1"/>
    <sheet name="Hort.11-12" sheetId="34" r:id="rId2"/>
    <sheet name="Fruits11-12" sheetId="31" r:id="rId3"/>
    <sheet name="Citrus11-12" sheetId="30" r:id="rId4"/>
    <sheet name="Veg11-12" sheetId="32" r:id="rId5"/>
    <sheet name="Plant11-12" sheetId="29" r:id="rId6"/>
    <sheet name="Spices 11-12" sheetId="41" r:id="rId7"/>
    <sheet name="Flower 11-12" sheetId="40" r:id="rId8"/>
  </sheets>
  <definedNames>
    <definedName name="_xlnm.Print_Titles" localSheetId="7">'Flower 11-12'!$A:$A</definedName>
    <definedName name="_xlnm.Print_Titles" localSheetId="2">'Fruits11-12'!$A:$A</definedName>
    <definedName name="_xlnm.Print_Titles" localSheetId="6">'Spices 11-12'!$A:$A</definedName>
    <definedName name="_xlnm.Print_Titles" localSheetId="0">Summary!$A:$A,Summary!$1:$5</definedName>
    <definedName name="_xlnm.Print_Titles" localSheetId="4">'Veg11-12'!$A:$A</definedName>
  </definedNames>
  <calcPr calcId="145621" fullCalcOnLoad="1"/>
</workbook>
</file>

<file path=xl/calcChain.xml><?xml version="1.0" encoding="utf-8"?>
<calcChain xmlns="http://schemas.openxmlformats.org/spreadsheetml/2006/main">
  <c r="AS32" i="32" l="1"/>
  <c r="AU32" i="32" s="1"/>
  <c r="AR32" i="32"/>
  <c r="B34" i="42"/>
  <c r="C34" i="42"/>
  <c r="C58" i="42"/>
  <c r="B58" i="42"/>
  <c r="AJ5" i="40"/>
  <c r="AM5" i="40"/>
  <c r="G8" i="34" s="1"/>
  <c r="AI5" i="40"/>
  <c r="AS4" i="32"/>
  <c r="AR4" i="32"/>
  <c r="J4" i="30"/>
  <c r="AF4" i="31"/>
  <c r="BB4" i="31" s="1"/>
  <c r="B8" i="34" s="1"/>
  <c r="K4" i="30"/>
  <c r="AG4" i="31" s="1"/>
  <c r="BC4" i="31" s="1"/>
  <c r="C8" i="34" s="1"/>
  <c r="C16" i="32"/>
  <c r="C38" i="32" s="1"/>
  <c r="E37" i="42" s="1"/>
  <c r="AS16" i="32"/>
  <c r="P16" i="32"/>
  <c r="N16" i="32"/>
  <c r="AR16" i="32"/>
  <c r="AO16" i="32"/>
  <c r="AN16" i="32"/>
  <c r="AI16" i="32"/>
  <c r="AH16" i="32"/>
  <c r="AG16" i="32"/>
  <c r="AF16" i="32"/>
  <c r="AE16" i="32"/>
  <c r="AD16" i="32"/>
  <c r="AC16" i="32"/>
  <c r="AC38" i="32"/>
  <c r="AB16" i="32"/>
  <c r="Y16" i="32"/>
  <c r="Y38" i="32" s="1"/>
  <c r="E48" i="42" s="1"/>
  <c r="X16" i="32"/>
  <c r="W16" i="32"/>
  <c r="V16" i="32"/>
  <c r="S16" i="32"/>
  <c r="S38" i="32" s="1"/>
  <c r="E45" i="42" s="1"/>
  <c r="R16" i="32"/>
  <c r="Q16" i="32"/>
  <c r="O16" i="32"/>
  <c r="O38" i="32"/>
  <c r="E43" i="42" s="1"/>
  <c r="M16" i="32"/>
  <c r="L16" i="32"/>
  <c r="K16" i="32"/>
  <c r="J16" i="32"/>
  <c r="J38" i="32"/>
  <c r="D41" i="42" s="1"/>
  <c r="I16" i="32"/>
  <c r="I38" i="32" s="1"/>
  <c r="E40" i="42" s="1"/>
  <c r="H16" i="32"/>
  <c r="H38" i="32"/>
  <c r="D40" i="42" s="1"/>
  <c r="G16" i="32"/>
  <c r="F16" i="32"/>
  <c r="E16" i="32"/>
  <c r="E38" i="32" s="1"/>
  <c r="E38" i="42" s="1"/>
  <c r="D16" i="32"/>
  <c r="B16" i="32"/>
  <c r="C39" i="40"/>
  <c r="D39" i="40"/>
  <c r="E39" i="40"/>
  <c r="F39" i="40"/>
  <c r="G39" i="40"/>
  <c r="H39" i="40"/>
  <c r="I39" i="40"/>
  <c r="J39" i="40"/>
  <c r="K39" i="40"/>
  <c r="L39" i="40"/>
  <c r="M39" i="40"/>
  <c r="N39" i="40"/>
  <c r="O39" i="40"/>
  <c r="P39" i="40"/>
  <c r="Q39" i="40"/>
  <c r="R39" i="40"/>
  <c r="S39" i="40"/>
  <c r="T39" i="40"/>
  <c r="U39" i="40"/>
  <c r="V39" i="40"/>
  <c r="W39" i="40"/>
  <c r="X39" i="40"/>
  <c r="Y39" i="40"/>
  <c r="Z39" i="40"/>
  <c r="AA39" i="40"/>
  <c r="AB39" i="40"/>
  <c r="AC39" i="40"/>
  <c r="AD39" i="40"/>
  <c r="AE39" i="40"/>
  <c r="AF39" i="40"/>
  <c r="AG39" i="40"/>
  <c r="AH39" i="40"/>
  <c r="AL5" i="40"/>
  <c r="F8" i="34"/>
  <c r="AL35" i="40"/>
  <c r="F38" i="34"/>
  <c r="AL29" i="40"/>
  <c r="AM35" i="40"/>
  <c r="G38" i="34" s="1"/>
  <c r="AM29" i="40"/>
  <c r="AN35" i="40"/>
  <c r="AN5" i="40"/>
  <c r="B39" i="40"/>
  <c r="AN6" i="40"/>
  <c r="AN7" i="40"/>
  <c r="AN8" i="40"/>
  <c r="AN9" i="40"/>
  <c r="H12" i="34"/>
  <c r="AN10" i="40"/>
  <c r="AN11" i="40"/>
  <c r="AN12" i="40"/>
  <c r="AN13" i="40"/>
  <c r="AN14" i="40"/>
  <c r="H17" i="34"/>
  <c r="AN15" i="40"/>
  <c r="AN16" i="40"/>
  <c r="AN17" i="40"/>
  <c r="AN18" i="40"/>
  <c r="AN19" i="40"/>
  <c r="AN20" i="40"/>
  <c r="AN21" i="40"/>
  <c r="H24" i="34"/>
  <c r="AN22" i="40"/>
  <c r="AN23" i="40"/>
  <c r="AN24" i="40"/>
  <c r="AN25" i="40"/>
  <c r="H28" i="34" s="1"/>
  <c r="AN26" i="40"/>
  <c r="AN28" i="40"/>
  <c r="AN29" i="40"/>
  <c r="AN30" i="40"/>
  <c r="AN31" i="40"/>
  <c r="H34" i="34" s="1"/>
  <c r="AN33" i="40"/>
  <c r="AN34" i="40"/>
  <c r="AN36" i="40"/>
  <c r="AN37" i="40"/>
  <c r="H40" i="34"/>
  <c r="AM6" i="40"/>
  <c r="AM7" i="40"/>
  <c r="AM8" i="40"/>
  <c r="G11" i="34"/>
  <c r="AM9" i="40"/>
  <c r="AM10" i="40"/>
  <c r="AM11" i="40"/>
  <c r="AM12" i="40"/>
  <c r="AM13" i="40"/>
  <c r="AM14" i="40"/>
  <c r="AM15" i="40"/>
  <c r="AM16" i="40"/>
  <c r="AM17" i="40"/>
  <c r="G20" i="34"/>
  <c r="AM18" i="40"/>
  <c r="AM20" i="40"/>
  <c r="AM21" i="40"/>
  <c r="G24" i="34"/>
  <c r="AM22" i="40"/>
  <c r="AM23" i="40"/>
  <c r="AM24" i="40"/>
  <c r="AM25" i="40"/>
  <c r="AM26" i="40"/>
  <c r="AM27" i="40"/>
  <c r="AM28" i="40"/>
  <c r="AM30" i="40"/>
  <c r="AM31" i="40"/>
  <c r="AM32" i="40"/>
  <c r="AM33" i="40"/>
  <c r="AM34" i="40"/>
  <c r="AM36" i="40"/>
  <c r="AM37" i="40"/>
  <c r="AL6" i="40"/>
  <c r="AL7" i="40"/>
  <c r="AL9" i="40"/>
  <c r="AL10" i="40"/>
  <c r="AL11" i="40"/>
  <c r="AL12" i="40"/>
  <c r="AL13" i="40"/>
  <c r="AL14" i="40"/>
  <c r="AL15" i="40"/>
  <c r="AL17" i="40"/>
  <c r="F20" i="34" s="1"/>
  <c r="AL18" i="40"/>
  <c r="AL20" i="40"/>
  <c r="AL21" i="40"/>
  <c r="AL22" i="40"/>
  <c r="F25" i="34"/>
  <c r="AL24" i="40"/>
  <c r="F27" i="34"/>
  <c r="AL25" i="40"/>
  <c r="AL26" i="40"/>
  <c r="AL28" i="40"/>
  <c r="AL31" i="40"/>
  <c r="AL33" i="40"/>
  <c r="AL34" i="40"/>
  <c r="AL37" i="40"/>
  <c r="AM4" i="40"/>
  <c r="AN4" i="40"/>
  <c r="AI23" i="40"/>
  <c r="AL23" i="40" s="1"/>
  <c r="F26" i="34" s="1"/>
  <c r="AL38" i="31"/>
  <c r="K38" i="31"/>
  <c r="E10" i="42" s="1"/>
  <c r="AC38" i="31"/>
  <c r="E25" i="42" s="1"/>
  <c r="AS38" i="31"/>
  <c r="E31" i="42" s="1"/>
  <c r="AU38" i="31"/>
  <c r="E32" i="42" s="1"/>
  <c r="C38" i="30"/>
  <c r="E13" i="42" s="1"/>
  <c r="G38" i="30"/>
  <c r="E15" i="42" s="1"/>
  <c r="E38" i="30"/>
  <c r="E14" i="42"/>
  <c r="I38" i="31"/>
  <c r="O38" i="31"/>
  <c r="E18" i="42" s="1"/>
  <c r="U38" i="31"/>
  <c r="E21" i="42" s="1"/>
  <c r="AE38" i="31"/>
  <c r="E26" i="42" s="1"/>
  <c r="AM38" i="31"/>
  <c r="AO38" i="31"/>
  <c r="E29" i="42"/>
  <c r="J38" i="31"/>
  <c r="D10" i="42"/>
  <c r="H38" i="31"/>
  <c r="N38" i="31"/>
  <c r="D18" i="42" s="1"/>
  <c r="T38" i="31"/>
  <c r="D21" i="42" s="1"/>
  <c r="AB38" i="31"/>
  <c r="D25" i="42" s="1"/>
  <c r="AD38" i="31"/>
  <c r="D26" i="42" s="1"/>
  <c r="AN38" i="31"/>
  <c r="D29" i="42" s="1"/>
  <c r="AR38" i="31"/>
  <c r="D31" i="42" s="1"/>
  <c r="AT38" i="31"/>
  <c r="D32" i="42" s="1"/>
  <c r="D38" i="30"/>
  <c r="D14" i="42" s="1"/>
  <c r="F38" i="30"/>
  <c r="D15" i="42" s="1"/>
  <c r="B38" i="30"/>
  <c r="D13" i="42" s="1"/>
  <c r="AR28" i="32"/>
  <c r="AT28" i="32"/>
  <c r="D32" i="34" s="1"/>
  <c r="C91" i="42"/>
  <c r="C17" i="42"/>
  <c r="C71" i="42"/>
  <c r="B38" i="32"/>
  <c r="D37" i="42"/>
  <c r="D38" i="32"/>
  <c r="D38" i="42"/>
  <c r="F38" i="32"/>
  <c r="D39" i="42"/>
  <c r="X38" i="32"/>
  <c r="D48" i="42"/>
  <c r="AF38" i="32"/>
  <c r="D51" i="42"/>
  <c r="T38" i="32"/>
  <c r="D46" i="42"/>
  <c r="V38" i="32"/>
  <c r="D47" i="42"/>
  <c r="R38" i="32"/>
  <c r="D45" i="42"/>
  <c r="AL38" i="32"/>
  <c r="D54" i="42"/>
  <c r="L38" i="32"/>
  <c r="D42" i="42"/>
  <c r="N38" i="32"/>
  <c r="D43" i="42"/>
  <c r="P38" i="32"/>
  <c r="D44" i="42"/>
  <c r="Z38" i="32"/>
  <c r="AB38" i="32"/>
  <c r="D49" i="42" s="1"/>
  <c r="AH38" i="32"/>
  <c r="D52" i="42" s="1"/>
  <c r="AJ38" i="32"/>
  <c r="D53" i="42" s="1"/>
  <c r="AP38" i="32"/>
  <c r="D56" i="42" s="1"/>
  <c r="B34" i="41"/>
  <c r="D87" i="42" s="1"/>
  <c r="D34" i="41"/>
  <c r="D85" i="42" s="1"/>
  <c r="V34" i="41"/>
  <c r="D74" i="42" s="1"/>
  <c r="L34" i="41"/>
  <c r="D75" i="42" s="1"/>
  <c r="F34" i="41"/>
  <c r="D76" i="42" s="1"/>
  <c r="Z34" i="41"/>
  <c r="D77" i="42" s="1"/>
  <c r="X34" i="41"/>
  <c r="D78" i="42" s="1"/>
  <c r="AD34" i="41"/>
  <c r="D79" i="42" s="1"/>
  <c r="N34" i="41"/>
  <c r="D80" i="42" s="1"/>
  <c r="P34" i="41"/>
  <c r="D81" i="42" s="1"/>
  <c r="T34" i="41"/>
  <c r="D82" i="42" s="1"/>
  <c r="R34" i="41"/>
  <c r="D83" i="42" s="1"/>
  <c r="J34" i="41"/>
  <c r="D84" i="42" s="1"/>
  <c r="AB34" i="41"/>
  <c r="D86" i="42" s="1"/>
  <c r="AH34" i="41"/>
  <c r="D88" i="42" s="1"/>
  <c r="AF34" i="41"/>
  <c r="D89" i="42" s="1"/>
  <c r="H34" i="41"/>
  <c r="D90" i="42" s="1"/>
  <c r="B38" i="29"/>
  <c r="D67" i="42" s="1"/>
  <c r="D38" i="29"/>
  <c r="D68" i="42" s="1"/>
  <c r="F38" i="29"/>
  <c r="D69" i="42" s="1"/>
  <c r="H38" i="29"/>
  <c r="D70" i="42" s="1"/>
  <c r="G38" i="32"/>
  <c r="E39" i="42" s="1"/>
  <c r="AG38" i="32"/>
  <c r="E51" i="42" s="1"/>
  <c r="U38" i="32"/>
  <c r="E46" i="42" s="1"/>
  <c r="W38" i="32"/>
  <c r="E47" i="42" s="1"/>
  <c r="AM38" i="32"/>
  <c r="E54" i="42" s="1"/>
  <c r="K38" i="32"/>
  <c r="E41" i="42" s="1"/>
  <c r="M38" i="32"/>
  <c r="E42" i="42" s="1"/>
  <c r="Q38" i="32"/>
  <c r="E44" i="42" s="1"/>
  <c r="AA38" i="32"/>
  <c r="E49" i="42"/>
  <c r="AI38" i="32"/>
  <c r="E52" i="42" s="1"/>
  <c r="AK38" i="32"/>
  <c r="E53" i="42" s="1"/>
  <c r="AQ38" i="32"/>
  <c r="E56" i="42" s="1"/>
  <c r="C34" i="41"/>
  <c r="E87" i="42" s="1"/>
  <c r="E34" i="41"/>
  <c r="E85" i="42" s="1"/>
  <c r="W34" i="41"/>
  <c r="E74" i="42" s="1"/>
  <c r="M34" i="41"/>
  <c r="E75" i="42" s="1"/>
  <c r="G34" i="41"/>
  <c r="E76" i="42" s="1"/>
  <c r="AA34" i="41"/>
  <c r="E77" i="42" s="1"/>
  <c r="Y34" i="41"/>
  <c r="E78" i="42" s="1"/>
  <c r="AE34" i="41"/>
  <c r="E79" i="42" s="1"/>
  <c r="O34" i="41"/>
  <c r="E80" i="42" s="1"/>
  <c r="Q34" i="41"/>
  <c r="E81" i="42" s="1"/>
  <c r="U34" i="41"/>
  <c r="E82" i="42" s="1"/>
  <c r="S34" i="41"/>
  <c r="E83" i="42" s="1"/>
  <c r="K34" i="41"/>
  <c r="E84" i="42" s="1"/>
  <c r="AC34" i="41"/>
  <c r="E86" i="42" s="1"/>
  <c r="AI34" i="41"/>
  <c r="E88" i="42" s="1"/>
  <c r="AG34" i="41"/>
  <c r="E89" i="42" s="1"/>
  <c r="I34" i="41"/>
  <c r="E90" i="42" s="1"/>
  <c r="C38" i="29"/>
  <c r="E67" i="42" s="1"/>
  <c r="E71" i="42" s="1"/>
  <c r="E38" i="29"/>
  <c r="E68" i="42"/>
  <c r="G38" i="29"/>
  <c r="E69" i="42"/>
  <c r="AS21" i="32"/>
  <c r="AR21" i="32"/>
  <c r="AT21" i="32" s="1"/>
  <c r="D25" i="34" s="1"/>
  <c r="BA21" i="31"/>
  <c r="AZ21" i="31"/>
  <c r="I38" i="29"/>
  <c r="E70" i="42"/>
  <c r="B17" i="42"/>
  <c r="B35" i="42"/>
  <c r="B71" i="42"/>
  <c r="B91" i="42"/>
  <c r="AI8" i="40"/>
  <c r="AS7" i="32"/>
  <c r="AR7" i="32"/>
  <c r="AT7" i="32"/>
  <c r="AS27" i="32"/>
  <c r="AI16" i="40"/>
  <c r="AL16" i="40" s="1"/>
  <c r="BA15" i="31"/>
  <c r="AZ15" i="31"/>
  <c r="J18" i="30"/>
  <c r="AF18" i="31" s="1"/>
  <c r="BB18" i="31"/>
  <c r="B22" i="34" s="1"/>
  <c r="K18" i="30"/>
  <c r="AG18" i="31"/>
  <c r="BC18" i="31" s="1"/>
  <c r="C22" i="34"/>
  <c r="AT18" i="32"/>
  <c r="AU18" i="32"/>
  <c r="AI36" i="40"/>
  <c r="AL36" i="40" s="1"/>
  <c r="F39" i="34"/>
  <c r="AS35" i="32"/>
  <c r="AR35" i="32"/>
  <c r="C16" i="31"/>
  <c r="C38" i="31"/>
  <c r="E7" i="42" s="1"/>
  <c r="B16" i="31"/>
  <c r="BA16" i="31"/>
  <c r="AZ16" i="31"/>
  <c r="I16" i="30"/>
  <c r="I38" i="30" s="1"/>
  <c r="E16" i="42"/>
  <c r="H16" i="30"/>
  <c r="H38" i="30"/>
  <c r="D16" i="42" s="1"/>
  <c r="L16" i="31"/>
  <c r="L38" i="31" s="1"/>
  <c r="D11" i="42" s="1"/>
  <c r="AY16" i="31"/>
  <c r="AY38" i="31"/>
  <c r="E33" i="42" s="1"/>
  <c r="AX16" i="31"/>
  <c r="AX38" i="31" s="1"/>
  <c r="D33" i="42" s="1"/>
  <c r="AQ16" i="31"/>
  <c r="AQ38" i="31"/>
  <c r="E30" i="42" s="1"/>
  <c r="AP16" i="31"/>
  <c r="AP38" i="31" s="1"/>
  <c r="D30" i="42" s="1"/>
  <c r="AK16" i="31"/>
  <c r="AK38" i="31"/>
  <c r="E28" i="42" s="1"/>
  <c r="AJ16" i="31"/>
  <c r="AJ38" i="31" s="1"/>
  <c r="D28" i="42" s="1"/>
  <c r="AI16" i="31"/>
  <c r="AI38" i="31"/>
  <c r="E27" i="42" s="1"/>
  <c r="AH16" i="31"/>
  <c r="AH38" i="31" s="1"/>
  <c r="D27" i="42" s="1"/>
  <c r="AA16" i="31"/>
  <c r="AA38" i="31"/>
  <c r="E24" i="42" s="1"/>
  <c r="Z16" i="31"/>
  <c r="Z38" i="31" s="1"/>
  <c r="D24" i="42" s="1"/>
  <c r="Y16" i="31"/>
  <c r="Y38" i="31"/>
  <c r="E23" i="42" s="1"/>
  <c r="X16" i="31"/>
  <c r="X38" i="31" s="1"/>
  <c r="D23" i="42" s="1"/>
  <c r="W16" i="31"/>
  <c r="W38" i="31"/>
  <c r="E22" i="42" s="1"/>
  <c r="V16" i="31"/>
  <c r="V38" i="31" s="1"/>
  <c r="D22" i="42" s="1"/>
  <c r="S16" i="31"/>
  <c r="S38" i="31"/>
  <c r="E20" i="42" s="1"/>
  <c r="R16" i="31"/>
  <c r="R38" i="31" s="1"/>
  <c r="D20" i="42" s="1"/>
  <c r="Q16" i="31"/>
  <c r="Q38" i="31"/>
  <c r="E19" i="42" s="1"/>
  <c r="P16" i="31"/>
  <c r="P38" i="31" s="1"/>
  <c r="D19" i="42" s="1"/>
  <c r="M16" i="31"/>
  <c r="M38" i="31"/>
  <c r="E11" i="42" s="1"/>
  <c r="G16" i="31"/>
  <c r="G38" i="31" s="1"/>
  <c r="E9" i="42" s="1"/>
  <c r="F16" i="31"/>
  <c r="F38" i="31"/>
  <c r="D9" i="42" s="1"/>
  <c r="E16" i="31"/>
  <c r="E38" i="31" s="1"/>
  <c r="E8" i="42" s="1"/>
  <c r="D16" i="31"/>
  <c r="D38" i="31"/>
  <c r="D8" i="42" s="1"/>
  <c r="BA24" i="31"/>
  <c r="AZ24" i="31"/>
  <c r="AS20" i="32"/>
  <c r="AR20" i="32"/>
  <c r="AI30" i="40"/>
  <c r="AL30" i="40"/>
  <c r="F33" i="34" s="1"/>
  <c r="AS29" i="32"/>
  <c r="AU29" i="32" s="1"/>
  <c r="AR29" i="32"/>
  <c r="AT29" i="32" s="1"/>
  <c r="D33" i="34" s="1"/>
  <c r="AK32" i="40"/>
  <c r="AN32" i="40"/>
  <c r="H35" i="34" s="1"/>
  <c r="AS31" i="32"/>
  <c r="AR31" i="32"/>
  <c r="AE31" i="32"/>
  <c r="AE38" i="32" s="1"/>
  <c r="E50" i="42"/>
  <c r="AD31" i="32"/>
  <c r="AR14" i="32"/>
  <c r="AT14" i="32" s="1"/>
  <c r="D18" i="34" s="1"/>
  <c r="AS14" i="32"/>
  <c r="BA14" i="31"/>
  <c r="AZ14" i="31"/>
  <c r="B38" i="31"/>
  <c r="D7" i="42" s="1"/>
  <c r="J14" i="30"/>
  <c r="AF14" i="31" s="1"/>
  <c r="BB14" i="31" s="1"/>
  <c r="B18" i="34" s="1"/>
  <c r="J29" i="30"/>
  <c r="AF29" i="31"/>
  <c r="BB29" i="31" s="1"/>
  <c r="B33" i="34" s="1"/>
  <c r="J32" i="30"/>
  <c r="AF32" i="31"/>
  <c r="BB32" i="31" s="1"/>
  <c r="B36" i="34"/>
  <c r="J23" i="30"/>
  <c r="AF23" i="31" s="1"/>
  <c r="BB23" i="31" s="1"/>
  <c r="B27" i="34" s="1"/>
  <c r="J35" i="30"/>
  <c r="AF35" i="31" s="1"/>
  <c r="BB35" i="31"/>
  <c r="B39" i="34" s="1"/>
  <c r="J15" i="30"/>
  <c r="AF15" i="31" s="1"/>
  <c r="BB15" i="31" s="1"/>
  <c r="B19" i="34" s="1"/>
  <c r="J7" i="30"/>
  <c r="AF7" i="31"/>
  <c r="BB7" i="31" s="1"/>
  <c r="B11" i="34" s="1"/>
  <c r="J21" i="30"/>
  <c r="AF21" i="31" s="1"/>
  <c r="BB21" i="31"/>
  <c r="B25" i="34" s="1"/>
  <c r="J28" i="30"/>
  <c r="AF28" i="31"/>
  <c r="BB28" i="31" s="1"/>
  <c r="B32" i="34"/>
  <c r="BB34" i="31"/>
  <c r="B38" i="34" s="1"/>
  <c r="F12" i="34"/>
  <c r="F36" i="34"/>
  <c r="F29" i="34"/>
  <c r="F34" i="34"/>
  <c r="F32" i="34"/>
  <c r="F9" i="34"/>
  <c r="F10" i="34"/>
  <c r="F13" i="34"/>
  <c r="F14" i="34"/>
  <c r="F15" i="34"/>
  <c r="F16" i="34"/>
  <c r="F17" i="34"/>
  <c r="F21" i="34"/>
  <c r="F23" i="34"/>
  <c r="F24" i="34"/>
  <c r="F28" i="34"/>
  <c r="F31" i="34"/>
  <c r="F37" i="34"/>
  <c r="F40" i="34"/>
  <c r="G12" i="34"/>
  <c r="G33" i="34"/>
  <c r="G36" i="34"/>
  <c r="G39" i="34"/>
  <c r="G34" i="34"/>
  <c r="G32" i="34"/>
  <c r="G25" i="34"/>
  <c r="G26" i="34"/>
  <c r="G7" i="34"/>
  <c r="G9" i="34"/>
  <c r="G10" i="34"/>
  <c r="G13" i="34"/>
  <c r="G14" i="34"/>
  <c r="G15" i="34"/>
  <c r="G16" i="34"/>
  <c r="G17" i="34"/>
  <c r="G21" i="34"/>
  <c r="G23" i="34"/>
  <c r="G27" i="34"/>
  <c r="G28" i="34"/>
  <c r="G29" i="34"/>
  <c r="G30" i="34"/>
  <c r="G31" i="34"/>
  <c r="G35" i="34"/>
  <c r="G37" i="34"/>
  <c r="G40" i="34"/>
  <c r="H33" i="34"/>
  <c r="H39" i="34"/>
  <c r="H11" i="34"/>
  <c r="H14" i="34"/>
  <c r="H15" i="34"/>
  <c r="H16" i="34"/>
  <c r="H20" i="34"/>
  <c r="H21" i="34"/>
  <c r="H23" i="34"/>
  <c r="H25" i="34"/>
  <c r="H26" i="34"/>
  <c r="H27" i="34"/>
  <c r="H29" i="34"/>
  <c r="H31" i="34"/>
  <c r="H32" i="34"/>
  <c r="H36" i="34"/>
  <c r="H37" i="34"/>
  <c r="H38" i="34"/>
  <c r="H8" i="34"/>
  <c r="H9" i="34"/>
  <c r="H10" i="34"/>
  <c r="H13" i="34"/>
  <c r="H7" i="34"/>
  <c r="K8" i="30"/>
  <c r="AG8" i="31"/>
  <c r="BC8" i="31" s="1"/>
  <c r="C12" i="34" s="1"/>
  <c r="K14" i="30"/>
  <c r="AG14" i="31"/>
  <c r="K29" i="30"/>
  <c r="AG29" i="31" s="1"/>
  <c r="BC29" i="31" s="1"/>
  <c r="C33" i="34" s="1"/>
  <c r="K32" i="30"/>
  <c r="AG32" i="31"/>
  <c r="BC32" i="31" s="1"/>
  <c r="C36" i="34" s="1"/>
  <c r="K23" i="30"/>
  <c r="AG23" i="31" s="1"/>
  <c r="BC23" i="31"/>
  <c r="C27" i="34" s="1"/>
  <c r="K16" i="30"/>
  <c r="AG16" i="31" s="1"/>
  <c r="K35" i="30"/>
  <c r="AG35" i="31" s="1"/>
  <c r="BC35" i="31" s="1"/>
  <c r="C39" i="34" s="1"/>
  <c r="K7" i="30"/>
  <c r="AG7" i="31"/>
  <c r="BC7" i="31" s="1"/>
  <c r="C11" i="34" s="1"/>
  <c r="K21" i="30"/>
  <c r="AG21" i="31" s="1"/>
  <c r="BC21" i="31" s="1"/>
  <c r="C25" i="34" s="1"/>
  <c r="K28" i="30"/>
  <c r="AG28" i="31" s="1"/>
  <c r="BC28" i="31" s="1"/>
  <c r="C32" i="34" s="1"/>
  <c r="K22" i="30"/>
  <c r="AG22" i="31"/>
  <c r="BC22" i="31" s="1"/>
  <c r="C26" i="34" s="1"/>
  <c r="BC34" i="31"/>
  <c r="C38" i="34" s="1"/>
  <c r="AT8" i="32"/>
  <c r="D12" i="34" s="1"/>
  <c r="AT11" i="32"/>
  <c r="D15" i="34" s="1"/>
  <c r="AT31" i="32"/>
  <c r="D35" i="34" s="1"/>
  <c r="AT20" i="32"/>
  <c r="D24" i="34" s="1"/>
  <c r="AT32" i="32"/>
  <c r="D36" i="34" s="1"/>
  <c r="AT23" i="32"/>
  <c r="D27" i="34" s="1"/>
  <c r="AT35" i="32"/>
  <c r="D39" i="34" s="1"/>
  <c r="D22" i="34"/>
  <c r="AT30" i="32"/>
  <c r="D34" i="34" s="1"/>
  <c r="AT27" i="32"/>
  <c r="D31" i="34"/>
  <c r="D11" i="34"/>
  <c r="AT22" i="32"/>
  <c r="D26" i="34" s="1"/>
  <c r="AT4" i="32"/>
  <c r="D8" i="34" s="1"/>
  <c r="AT34" i="32"/>
  <c r="D38" i="34" s="1"/>
  <c r="AT17" i="32"/>
  <c r="D21" i="34" s="1"/>
  <c r="AU8" i="32"/>
  <c r="E12" i="34" s="1"/>
  <c r="AU11" i="32"/>
  <c r="E15" i="34" s="1"/>
  <c r="AU14" i="32"/>
  <c r="E18" i="34" s="1"/>
  <c r="AU31" i="32"/>
  <c r="E35" i="34" s="1"/>
  <c r="E33" i="34"/>
  <c r="AU20" i="32"/>
  <c r="E24" i="34"/>
  <c r="E36" i="34"/>
  <c r="AU23" i="32"/>
  <c r="E27" i="34" s="1"/>
  <c r="AU24" i="32"/>
  <c r="E28" i="34" s="1"/>
  <c r="AU35" i="32"/>
  <c r="E39" i="34" s="1"/>
  <c r="E22" i="34"/>
  <c r="AU30" i="32"/>
  <c r="E34" i="34"/>
  <c r="AU27" i="32"/>
  <c r="E31" i="34"/>
  <c r="AU7" i="32"/>
  <c r="E11" i="34"/>
  <c r="AU21" i="32"/>
  <c r="E25" i="34"/>
  <c r="AU28" i="32"/>
  <c r="E32" i="34"/>
  <c r="AU22" i="32"/>
  <c r="E26" i="34"/>
  <c r="AU16" i="32"/>
  <c r="E20" i="34"/>
  <c r="AU4" i="32"/>
  <c r="E8" i="34"/>
  <c r="AU34" i="32"/>
  <c r="E38" i="34"/>
  <c r="AU17" i="32"/>
  <c r="E21" i="34"/>
  <c r="AJ4" i="41"/>
  <c r="K8" i="34"/>
  <c r="AJ5" i="41"/>
  <c r="K9" i="34"/>
  <c r="AJ6" i="41"/>
  <c r="K10" i="34" s="1"/>
  <c r="AJ7" i="41"/>
  <c r="K11" i="34"/>
  <c r="AJ8" i="41"/>
  <c r="K12" i="34" s="1"/>
  <c r="AJ9" i="41"/>
  <c r="K16" i="34"/>
  <c r="AJ10" i="41"/>
  <c r="K17" i="34" s="1"/>
  <c r="AJ11" i="41"/>
  <c r="K18" i="34"/>
  <c r="AJ12" i="41"/>
  <c r="K19" i="34" s="1"/>
  <c r="AJ13" i="41"/>
  <c r="K20" i="34"/>
  <c r="AJ14" i="41"/>
  <c r="K21" i="34" s="1"/>
  <c r="AJ15" i="41"/>
  <c r="K22" i="34"/>
  <c r="AJ16" i="41"/>
  <c r="K23" i="34" s="1"/>
  <c r="AJ17" i="41"/>
  <c r="K25" i="34"/>
  <c r="AJ18" i="41"/>
  <c r="K26" i="34" s="1"/>
  <c r="AJ19" i="41"/>
  <c r="K27" i="34"/>
  <c r="AJ20" i="41"/>
  <c r="K28" i="34" s="1"/>
  <c r="AJ21" i="41"/>
  <c r="K29" i="34"/>
  <c r="AJ22" i="41"/>
  <c r="K30" i="34" s="1"/>
  <c r="AJ23" i="41"/>
  <c r="K31" i="34"/>
  <c r="AJ24" i="41"/>
  <c r="K32" i="34" s="1"/>
  <c r="AJ3" i="41"/>
  <c r="K7" i="34"/>
  <c r="AJ25" i="41"/>
  <c r="K33" i="34" s="1"/>
  <c r="AJ26" i="41"/>
  <c r="K34" i="34"/>
  <c r="AJ27" i="41"/>
  <c r="K35" i="34" s="1"/>
  <c r="AJ28" i="41"/>
  <c r="K36" i="34"/>
  <c r="AJ29" i="41"/>
  <c r="K37" i="34" s="1"/>
  <c r="AJ30" i="41"/>
  <c r="K38" i="34"/>
  <c r="AJ31" i="41"/>
  <c r="K39" i="34" s="1"/>
  <c r="AJ32" i="41"/>
  <c r="K40" i="34"/>
  <c r="AK4" i="41"/>
  <c r="L8" i="34" s="1"/>
  <c r="AK5" i="41"/>
  <c r="L9" i="34"/>
  <c r="AK6" i="41"/>
  <c r="L10" i="34" s="1"/>
  <c r="AK7" i="41"/>
  <c r="L11" i="34"/>
  <c r="AK8" i="41"/>
  <c r="L12" i="34" s="1"/>
  <c r="AK9" i="41"/>
  <c r="L16" i="34"/>
  <c r="AK10" i="41"/>
  <c r="L17" i="34" s="1"/>
  <c r="AK11" i="41"/>
  <c r="L18" i="34"/>
  <c r="AK12" i="41"/>
  <c r="L19" i="34" s="1"/>
  <c r="AK13" i="41"/>
  <c r="L20" i="34"/>
  <c r="AK14" i="41"/>
  <c r="L21" i="34" s="1"/>
  <c r="AK15" i="41"/>
  <c r="L22" i="34"/>
  <c r="AK16" i="41"/>
  <c r="L23" i="34" s="1"/>
  <c r="AK17" i="41"/>
  <c r="L25" i="34"/>
  <c r="AK18" i="41"/>
  <c r="L26" i="34" s="1"/>
  <c r="AK19" i="41"/>
  <c r="L27" i="34"/>
  <c r="AK20" i="41"/>
  <c r="L28" i="34" s="1"/>
  <c r="AK21" i="41"/>
  <c r="L29" i="34"/>
  <c r="AK22" i="41"/>
  <c r="L30" i="34" s="1"/>
  <c r="AK23" i="41"/>
  <c r="L31" i="34"/>
  <c r="AK24" i="41"/>
  <c r="L32" i="34" s="1"/>
  <c r="AK3" i="41"/>
  <c r="L7" i="34"/>
  <c r="AK25" i="41"/>
  <c r="L33" i="34" s="1"/>
  <c r="AK26" i="41"/>
  <c r="L34" i="34"/>
  <c r="AK27" i="41"/>
  <c r="L35" i="34" s="1"/>
  <c r="AK28" i="41"/>
  <c r="L36" i="34"/>
  <c r="AK29" i="41"/>
  <c r="L37" i="34" s="1"/>
  <c r="AK30" i="41"/>
  <c r="L38" i="34"/>
  <c r="AK31" i="41"/>
  <c r="L39" i="34" s="1"/>
  <c r="AK32" i="41"/>
  <c r="L40" i="34" s="1"/>
  <c r="J6" i="29"/>
  <c r="M10" i="34" s="1"/>
  <c r="J20" i="29"/>
  <c r="M24" i="34" s="1"/>
  <c r="J32" i="29"/>
  <c r="M36" i="34"/>
  <c r="J36" i="29"/>
  <c r="M40" i="34" s="1"/>
  <c r="J25" i="29"/>
  <c r="M29" i="34"/>
  <c r="J18" i="29"/>
  <c r="M22" i="34" s="1"/>
  <c r="J12" i="29"/>
  <c r="M16" i="34"/>
  <c r="J7" i="29"/>
  <c r="M11" i="34" s="1"/>
  <c r="J33" i="29"/>
  <c r="M37" i="34"/>
  <c r="J4" i="29"/>
  <c r="M8" i="34" s="1"/>
  <c r="J17" i="29"/>
  <c r="M21" i="34"/>
  <c r="J19" i="29"/>
  <c r="M23" i="34" s="1"/>
  <c r="J22" i="29"/>
  <c r="M26" i="34"/>
  <c r="J27" i="29"/>
  <c r="M31" i="34" s="1"/>
  <c r="J3" i="29"/>
  <c r="J5" i="29"/>
  <c r="M9" i="34" s="1"/>
  <c r="J8" i="29"/>
  <c r="M12" i="34" s="1"/>
  <c r="J9" i="29"/>
  <c r="M13" i="34"/>
  <c r="J10" i="29"/>
  <c r="M14" i="34" s="1"/>
  <c r="J11" i="29"/>
  <c r="M15" i="34"/>
  <c r="J13" i="29"/>
  <c r="M17" i="34" s="1"/>
  <c r="J14" i="29"/>
  <c r="M18" i="34" s="1"/>
  <c r="J15" i="29"/>
  <c r="M19" i="34" s="1"/>
  <c r="J16" i="29"/>
  <c r="M20" i="34" s="1"/>
  <c r="J21" i="29"/>
  <c r="M25" i="34" s="1"/>
  <c r="J23" i="29"/>
  <c r="M27" i="34"/>
  <c r="J24" i="29"/>
  <c r="M28" i="34" s="1"/>
  <c r="J26" i="29"/>
  <c r="M30" i="34"/>
  <c r="J28" i="29"/>
  <c r="M32" i="34" s="1"/>
  <c r="J29" i="29"/>
  <c r="M33" i="34" s="1"/>
  <c r="J30" i="29"/>
  <c r="M34" i="34" s="1"/>
  <c r="J31" i="29"/>
  <c r="M35" i="34" s="1"/>
  <c r="J34" i="29"/>
  <c r="M38" i="34" s="1"/>
  <c r="J35" i="29"/>
  <c r="M39" i="34"/>
  <c r="K6" i="29"/>
  <c r="N10" i="34" s="1"/>
  <c r="K20" i="29"/>
  <c r="N24" i="34"/>
  <c r="K32" i="29"/>
  <c r="N36" i="34"/>
  <c r="K36" i="29"/>
  <c r="N40" i="34"/>
  <c r="K25" i="29"/>
  <c r="N29" i="34"/>
  <c r="K18" i="29"/>
  <c r="N22" i="34"/>
  <c r="K12" i="29"/>
  <c r="N16" i="34"/>
  <c r="K27" i="29"/>
  <c r="N31" i="34"/>
  <c r="K7" i="29"/>
  <c r="N11" i="34"/>
  <c r="K33" i="29"/>
  <c r="N37" i="34"/>
  <c r="K4" i="29"/>
  <c r="K17" i="29"/>
  <c r="N21" i="34"/>
  <c r="K19" i="29"/>
  <c r="N23" i="34" s="1"/>
  <c r="K3" i="29"/>
  <c r="N7" i="34" s="1"/>
  <c r="K5" i="29"/>
  <c r="N9" i="34" s="1"/>
  <c r="K8" i="29"/>
  <c r="N12" i="34" s="1"/>
  <c r="P12" i="34" s="1"/>
  <c r="K9" i="29"/>
  <c r="N13" i="34" s="1"/>
  <c r="K10" i="29"/>
  <c r="N14" i="34"/>
  <c r="K11" i="29"/>
  <c r="N15" i="34" s="1"/>
  <c r="K13" i="29"/>
  <c r="N17" i="34"/>
  <c r="K14" i="29"/>
  <c r="N18" i="34" s="1"/>
  <c r="K15" i="29"/>
  <c r="N19" i="34" s="1"/>
  <c r="K16" i="29"/>
  <c r="N20" i="34" s="1"/>
  <c r="K21" i="29"/>
  <c r="N25" i="34" s="1"/>
  <c r="K22" i="29"/>
  <c r="N26" i="34" s="1"/>
  <c r="K23" i="29"/>
  <c r="N27" i="34"/>
  <c r="K24" i="29"/>
  <c r="N28" i="34" s="1"/>
  <c r="K26" i="29"/>
  <c r="N30" i="34"/>
  <c r="K28" i="29"/>
  <c r="N32" i="34" s="1"/>
  <c r="K29" i="29"/>
  <c r="N33" i="34" s="1"/>
  <c r="K30" i="29"/>
  <c r="N34" i="34" s="1"/>
  <c r="K31" i="29"/>
  <c r="N35" i="34" s="1"/>
  <c r="K34" i="29"/>
  <c r="N38" i="34" s="1"/>
  <c r="K35" i="29"/>
  <c r="N39" i="34"/>
  <c r="J8" i="30"/>
  <c r="AF8" i="31" s="1"/>
  <c r="BB8" i="31" s="1"/>
  <c r="B12" i="34" s="1"/>
  <c r="O12" i="34" s="1"/>
  <c r="K33" i="30"/>
  <c r="AG33" i="31" s="1"/>
  <c r="BC33" i="31" s="1"/>
  <c r="C37" i="34" s="1"/>
  <c r="J33" i="30"/>
  <c r="AF33" i="31" s="1"/>
  <c r="BB33" i="31"/>
  <c r="B37" i="34" s="1"/>
  <c r="AI32" i="40"/>
  <c r="AL32" i="40"/>
  <c r="F35" i="34" s="1"/>
  <c r="AS36" i="32"/>
  <c r="AU36" i="32"/>
  <c r="E40" i="34"/>
  <c r="AR36" i="32"/>
  <c r="AT36" i="32" s="1"/>
  <c r="D40" i="34" s="1"/>
  <c r="AS3" i="32"/>
  <c r="AR3" i="32"/>
  <c r="AS25" i="32"/>
  <c r="AR25" i="32"/>
  <c r="AZ25" i="31"/>
  <c r="AZ38" i="31"/>
  <c r="D34" i="42" s="1"/>
  <c r="AS15" i="32"/>
  <c r="AR15" i="32"/>
  <c r="AK27" i="40"/>
  <c r="AI27" i="40"/>
  <c r="AL27" i="40"/>
  <c r="F30" i="34" s="1"/>
  <c r="F42" i="34" s="1"/>
  <c r="K3" i="30"/>
  <c r="J3" i="30"/>
  <c r="AF3" i="31"/>
  <c r="J22" i="34"/>
  <c r="J42" i="34"/>
  <c r="E60" i="42" s="1"/>
  <c r="I22" i="34"/>
  <c r="I42" i="34" s="1"/>
  <c r="D60" i="42" s="1"/>
  <c r="AJ19" i="40"/>
  <c r="AI19" i="40"/>
  <c r="AL19" i="40" s="1"/>
  <c r="AL39" i="40" s="1"/>
  <c r="D64" i="42" s="1"/>
  <c r="AR26" i="32"/>
  <c r="AS26" i="32"/>
  <c r="AU26" i="32"/>
  <c r="E30" i="34" s="1"/>
  <c r="AO26" i="32"/>
  <c r="AO38" i="32" s="1"/>
  <c r="E55" i="42"/>
  <c r="AN26" i="32"/>
  <c r="AN38" i="32" s="1"/>
  <c r="D55" i="42" s="1"/>
  <c r="BA25" i="31"/>
  <c r="AS33" i="32"/>
  <c r="AU33" i="32" s="1"/>
  <c r="E37" i="34" s="1"/>
  <c r="P37" i="34" s="1"/>
  <c r="AR33" i="32"/>
  <c r="AT33" i="32"/>
  <c r="D37" i="34" s="1"/>
  <c r="K5" i="30"/>
  <c r="AG5" i="31"/>
  <c r="BC5" i="31"/>
  <c r="C9" i="34" s="1"/>
  <c r="K6" i="30"/>
  <c r="AG6" i="31"/>
  <c r="BC6" i="31" s="1"/>
  <c r="C10" i="34" s="1"/>
  <c r="K9" i="30"/>
  <c r="AG9" i="31" s="1"/>
  <c r="K10" i="30"/>
  <c r="AG10" i="31" s="1"/>
  <c r="BC10" i="31" s="1"/>
  <c r="C14" i="34" s="1"/>
  <c r="P14" i="34" s="1"/>
  <c r="K11" i="30"/>
  <c r="AG11" i="31" s="1"/>
  <c r="BC11" i="31" s="1"/>
  <c r="C15" i="34" s="1"/>
  <c r="P15" i="34" s="1"/>
  <c r="K12" i="30"/>
  <c r="AG12" i="31"/>
  <c r="BC12" i="31"/>
  <c r="C16" i="34" s="1"/>
  <c r="K13" i="30"/>
  <c r="AG13" i="31"/>
  <c r="BC13" i="31" s="1"/>
  <c r="C17" i="34" s="1"/>
  <c r="K15" i="30"/>
  <c r="AG15" i="31"/>
  <c r="BC15" i="31" s="1"/>
  <c r="C19" i="34" s="1"/>
  <c r="K17" i="30"/>
  <c r="AG17" i="31" s="1"/>
  <c r="BC17" i="31" s="1"/>
  <c r="C21" i="34" s="1"/>
  <c r="K19" i="30"/>
  <c r="AG19" i="31" s="1"/>
  <c r="BC19" i="31" s="1"/>
  <c r="C23" i="34" s="1"/>
  <c r="K20" i="30"/>
  <c r="AG20" i="31" s="1"/>
  <c r="BC20" i="31" s="1"/>
  <c r="C24" i="34" s="1"/>
  <c r="P24" i="34" s="1"/>
  <c r="K24" i="30"/>
  <c r="AG24" i="31" s="1"/>
  <c r="BC24" i="31" s="1"/>
  <c r="C28" i="34" s="1"/>
  <c r="P28" i="34" s="1"/>
  <c r="K25" i="30"/>
  <c r="AG25" i="31" s="1"/>
  <c r="BC25" i="31" s="1"/>
  <c r="C29" i="34" s="1"/>
  <c r="K26" i="30"/>
  <c r="AG26" i="31" s="1"/>
  <c r="BC26" i="31" s="1"/>
  <c r="C30" i="34" s="1"/>
  <c r="P30" i="34" s="1"/>
  <c r="K27" i="30"/>
  <c r="AG27" i="31"/>
  <c r="BC27" i="31" s="1"/>
  <c r="C31" i="34" s="1"/>
  <c r="P31" i="34" s="1"/>
  <c r="K30" i="30"/>
  <c r="AG30" i="31" s="1"/>
  <c r="BC30" i="31" s="1"/>
  <c r="C34" i="34" s="1"/>
  <c r="P34" i="34" s="1"/>
  <c r="K31" i="30"/>
  <c r="AG31" i="31" s="1"/>
  <c r="BC31" i="31" s="1"/>
  <c r="C35" i="34" s="1"/>
  <c r="K34" i="30"/>
  <c r="K36" i="30"/>
  <c r="AG36" i="31" s="1"/>
  <c r="BC36" i="31" s="1"/>
  <c r="C40" i="34" s="1"/>
  <c r="P40" i="34" s="1"/>
  <c r="J5" i="30"/>
  <c r="AF5" i="31"/>
  <c r="BB5" i="31" s="1"/>
  <c r="B9" i="34" s="1"/>
  <c r="O9" i="34" s="1"/>
  <c r="J6" i="30"/>
  <c r="AF6" i="31" s="1"/>
  <c r="J9" i="30"/>
  <c r="AF9" i="31" s="1"/>
  <c r="BB9" i="31" s="1"/>
  <c r="B13" i="34" s="1"/>
  <c r="J10" i="30"/>
  <c r="AF10" i="31" s="1"/>
  <c r="BB10" i="31" s="1"/>
  <c r="B14" i="34" s="1"/>
  <c r="O14" i="34" s="1"/>
  <c r="J11" i="30"/>
  <c r="AF11" i="31" s="1"/>
  <c r="BB11" i="31" s="1"/>
  <c r="B15" i="34" s="1"/>
  <c r="O15" i="34" s="1"/>
  <c r="J12" i="30"/>
  <c r="AF12" i="31" s="1"/>
  <c r="BB12" i="31" s="1"/>
  <c r="B16" i="34" s="1"/>
  <c r="O16" i="34" s="1"/>
  <c r="J13" i="30"/>
  <c r="AF13" i="31" s="1"/>
  <c r="BB13" i="31" s="1"/>
  <c r="B17" i="34" s="1"/>
  <c r="J17" i="30"/>
  <c r="AF17" i="31"/>
  <c r="BB17" i="31" s="1"/>
  <c r="B21" i="34" s="1"/>
  <c r="O21" i="34" s="1"/>
  <c r="J19" i="30"/>
  <c r="AF19" i="31" s="1"/>
  <c r="BB19" i="31" s="1"/>
  <c r="B23" i="34" s="1"/>
  <c r="O23" i="34" s="1"/>
  <c r="J20" i="30"/>
  <c r="AF20" i="31" s="1"/>
  <c r="BB20" i="31" s="1"/>
  <c r="B24" i="34" s="1"/>
  <c r="O24" i="34" s="1"/>
  <c r="J22" i="30"/>
  <c r="AF22" i="31" s="1"/>
  <c r="BB22" i="31" s="1"/>
  <c r="B26" i="34" s="1"/>
  <c r="O26" i="34" s="1"/>
  <c r="J24" i="30"/>
  <c r="AF24" i="31" s="1"/>
  <c r="BB24" i="31" s="1"/>
  <c r="B28" i="34" s="1"/>
  <c r="O28" i="34" s="1"/>
  <c r="J25" i="30"/>
  <c r="AF25" i="31" s="1"/>
  <c r="BB25" i="31" s="1"/>
  <c r="B29" i="34" s="1"/>
  <c r="O29" i="34" s="1"/>
  <c r="J26" i="30"/>
  <c r="AF26" i="31"/>
  <c r="BB26" i="31" s="1"/>
  <c r="B30" i="34" s="1"/>
  <c r="J27" i="30"/>
  <c r="AF27" i="31" s="1"/>
  <c r="BB27" i="31" s="1"/>
  <c r="B31" i="34" s="1"/>
  <c r="O31" i="34" s="1"/>
  <c r="J30" i="30"/>
  <c r="AF30" i="31" s="1"/>
  <c r="BB30" i="31" s="1"/>
  <c r="B34" i="34" s="1"/>
  <c r="O34" i="34" s="1"/>
  <c r="J31" i="30"/>
  <c r="AF31" i="31"/>
  <c r="BB31" i="31" s="1"/>
  <c r="B35" i="34" s="1"/>
  <c r="O35" i="34" s="1"/>
  <c r="J34" i="30"/>
  <c r="J36" i="30"/>
  <c r="AF36" i="31"/>
  <c r="BB36" i="31" s="1"/>
  <c r="B40" i="34"/>
  <c r="AG3" i="31"/>
  <c r="AV38" i="31"/>
  <c r="AW38" i="31"/>
  <c r="AT5" i="32"/>
  <c r="D9" i="34"/>
  <c r="AT6" i="32"/>
  <c r="D10" i="34"/>
  <c r="AT9" i="32"/>
  <c r="D13" i="34"/>
  <c r="AT10" i="32"/>
  <c r="D14" i="34"/>
  <c r="AT12" i="32"/>
  <c r="D16" i="34"/>
  <c r="AT13" i="32"/>
  <c r="D17" i="34"/>
  <c r="AT15" i="32"/>
  <c r="D19" i="34"/>
  <c r="AT19" i="32"/>
  <c r="D23" i="34"/>
  <c r="AT24" i="32"/>
  <c r="D28" i="34"/>
  <c r="AT25" i="32"/>
  <c r="D29" i="34"/>
  <c r="AL4" i="40"/>
  <c r="F7" i="34"/>
  <c r="AU3" i="32"/>
  <c r="AU5" i="32"/>
  <c r="E9" i="34" s="1"/>
  <c r="AU9" i="32"/>
  <c r="E13" i="34" s="1"/>
  <c r="AU12" i="32"/>
  <c r="E16" i="34" s="1"/>
  <c r="AU13" i="32"/>
  <c r="E17" i="34" s="1"/>
  <c r="AU19" i="32"/>
  <c r="E23" i="34" s="1"/>
  <c r="AU15" i="32"/>
  <c r="E19" i="34" s="1"/>
  <c r="AT3" i="32"/>
  <c r="AU6" i="32"/>
  <c r="E10" i="34"/>
  <c r="AU10" i="32"/>
  <c r="E14" i="34"/>
  <c r="AU25" i="32"/>
  <c r="E29" i="34"/>
  <c r="BC3" i="31"/>
  <c r="C7" i="34"/>
  <c r="P7" i="34" s="1"/>
  <c r="AJ39" i="40"/>
  <c r="AM19" i="40"/>
  <c r="AM39" i="40" s="1"/>
  <c r="AK39" i="40"/>
  <c r="AN27" i="40"/>
  <c r="AN39" i="40" s="1"/>
  <c r="E63" i="42" s="1"/>
  <c r="H30" i="34"/>
  <c r="BA38" i="31"/>
  <c r="E34" i="42"/>
  <c r="AI39" i="40"/>
  <c r="E64" i="42"/>
  <c r="AL8" i="40"/>
  <c r="F11" i="34"/>
  <c r="D71" i="42"/>
  <c r="D91" i="42"/>
  <c r="AD38" i="32"/>
  <c r="D50" i="42" s="1"/>
  <c r="O38" i="34"/>
  <c r="K42" i="34"/>
  <c r="AU38" i="32"/>
  <c r="AS38" i="32"/>
  <c r="E57" i="42"/>
  <c r="E58" i="42" s="1"/>
  <c r="E7" i="34"/>
  <c r="AT26" i="32"/>
  <c r="D30" i="34" s="1"/>
  <c r="BB3" i="31"/>
  <c r="N8" i="34"/>
  <c r="K38" i="29"/>
  <c r="E91" i="42"/>
  <c r="K38" i="30"/>
  <c r="AR38" i="32"/>
  <c r="D57" i="42"/>
  <c r="J38" i="29"/>
  <c r="M7" i="34"/>
  <c r="L42" i="34"/>
  <c r="AJ34" i="41"/>
  <c r="C35" i="42"/>
  <c r="C92" i="42"/>
  <c r="BC16" i="31"/>
  <c r="C20" i="34" s="1"/>
  <c r="P20" i="34" s="1"/>
  <c r="B92" i="42"/>
  <c r="AT16" i="32"/>
  <c r="D20" i="34" s="1"/>
  <c r="J16" i="30"/>
  <c r="AF16" i="31"/>
  <c r="BB16" i="31"/>
  <c r="B20" i="34" s="1"/>
  <c r="J38" i="30"/>
  <c r="B7" i="34"/>
  <c r="P27" i="34"/>
  <c r="P21" i="34"/>
  <c r="O27" i="34"/>
  <c r="P29" i="34"/>
  <c r="O13" i="34"/>
  <c r="O33" i="34"/>
  <c r="P32" i="34"/>
  <c r="P17" i="34"/>
  <c r="O40" i="34"/>
  <c r="O39" i="34"/>
  <c r="P38" i="34"/>
  <c r="P8" i="34"/>
  <c r="G42" i="34"/>
  <c r="O20" i="34" l="1"/>
  <c r="D7" i="34"/>
  <c r="D42" i="34" s="1"/>
  <c r="AT38" i="32"/>
  <c r="P35" i="34"/>
  <c r="P23" i="34"/>
  <c r="P10" i="34"/>
  <c r="O37" i="34"/>
  <c r="BC9" i="31"/>
  <c r="AG38" i="31"/>
  <c r="O7" i="34"/>
  <c r="O30" i="34"/>
  <c r="N42" i="34"/>
  <c r="BB6" i="31"/>
  <c r="B10" i="34" s="1"/>
  <c r="AF38" i="31"/>
  <c r="M42" i="34"/>
  <c r="D58" i="42"/>
  <c r="E42" i="34"/>
  <c r="O17" i="34"/>
  <c r="P19" i="34"/>
  <c r="P16" i="34"/>
  <c r="P9" i="34"/>
  <c r="P39" i="34"/>
  <c r="P36" i="34"/>
  <c r="H42" i="34"/>
  <c r="O18" i="34"/>
  <c r="P25" i="34"/>
  <c r="O11" i="34"/>
  <c r="P26" i="34"/>
  <c r="P11" i="34"/>
  <c r="P33" i="34"/>
  <c r="AK34" i="41"/>
  <c r="O25" i="34"/>
  <c r="O19" i="34"/>
  <c r="O22" i="34"/>
  <c r="E17" i="42"/>
  <c r="E35" i="42" s="1"/>
  <c r="E92" i="42" s="1"/>
  <c r="O32" i="34"/>
  <c r="O36" i="34"/>
  <c r="P22" i="34"/>
  <c r="D17" i="42"/>
  <c r="D35" i="42" s="1"/>
  <c r="D92" i="42" s="1"/>
  <c r="BC14" i="31"/>
  <c r="C18" i="34" s="1"/>
  <c r="P18" i="34" s="1"/>
  <c r="O8" i="34"/>
  <c r="B42" i="34" l="1"/>
  <c r="O10" i="34"/>
  <c r="O42" i="34" s="1"/>
  <c r="BB38" i="31"/>
  <c r="C13" i="34"/>
  <c r="BC38" i="31"/>
  <c r="P13" i="34" l="1"/>
  <c r="P42" i="34" s="1"/>
  <c r="C42" i="34"/>
</calcChain>
</file>

<file path=xl/comments1.xml><?xml version="1.0" encoding="utf-8"?>
<comments xmlns="http://schemas.openxmlformats.org/spreadsheetml/2006/main">
  <authors>
    <author xml:space="preserve">HORTICULTURE </author>
  </authors>
  <commentList>
    <comment ref="F32" authorId="0">
      <text>
        <r>
          <rPr>
            <b/>
            <sz val="8"/>
            <color indexed="81"/>
            <rFont val="Tahoma"/>
            <family val="2"/>
          </rPr>
          <t>HORTICULTURE :</t>
        </r>
        <r>
          <rPr>
            <sz val="8"/>
            <color indexed="81"/>
            <rFont val="Tahoma"/>
            <family val="2"/>
          </rPr>
          <t xml:space="preserve">
DCCD Data Taken</t>
        </r>
      </text>
    </comment>
  </commentList>
</comments>
</file>

<file path=xl/sharedStrings.xml><?xml version="1.0" encoding="utf-8"?>
<sst xmlns="http://schemas.openxmlformats.org/spreadsheetml/2006/main" count="701" uniqueCount="229">
  <si>
    <t>APPLE</t>
  </si>
  <si>
    <t>BANANA</t>
  </si>
  <si>
    <t>GUAVA</t>
  </si>
  <si>
    <t>LITCHI</t>
  </si>
  <si>
    <t>MANGO</t>
  </si>
  <si>
    <t>PAPAYA</t>
  </si>
  <si>
    <t>PINEAPPLE</t>
  </si>
  <si>
    <t>SAPOTA</t>
  </si>
  <si>
    <t>OTHERS</t>
  </si>
  <si>
    <t>TOTAL</t>
  </si>
  <si>
    <t>P</t>
  </si>
  <si>
    <t>ANDAMAN NICOBAR</t>
  </si>
  <si>
    <t>ANDHRA PRADESH</t>
  </si>
  <si>
    <t>ARUNACHAL PRADESH</t>
  </si>
  <si>
    <t>ASSAM</t>
  </si>
  <si>
    <t>BIHAR</t>
  </si>
  <si>
    <t>CHHATISHGARH</t>
  </si>
  <si>
    <t>D &amp; N HAVELI</t>
  </si>
  <si>
    <t>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</si>
  <si>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</si>
  <si>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</si>
  <si>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</si>
  <si>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</si>
  <si>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</si>
  <si>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</si>
  <si>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</si>
  <si>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</si>
  <si>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</si>
  <si>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LAKSHDWEEP</t>
  </si>
  <si>
    <t>MADHYA PRADESH</t>
  </si>
  <si>
    <t>MAHARASHTRA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</si>
  <si>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</si>
  <si>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</si>
  <si>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</si>
  <si>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</si>
  <si>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</si>
  <si>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</si>
  <si>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</si>
  <si>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</si>
  <si>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TRIPURA</t>
  </si>
  <si>
    <t>UTTAR PRADESH</t>
  </si>
  <si>
    <t xml:space="preserve"> </t>
  </si>
  <si>
    <t>WEST BENGAL</t>
  </si>
  <si>
    <t>BRINJAL</t>
  </si>
  <si>
    <t>CABBAGE</t>
  </si>
  <si>
    <t>OKRA</t>
  </si>
  <si>
    <t>PEAS</t>
  </si>
  <si>
    <t>TOMATO</t>
  </si>
  <si>
    <t>ONION</t>
  </si>
  <si>
    <t>POTATO</t>
  </si>
  <si>
    <t>TAPIOCA</t>
  </si>
  <si>
    <t>A</t>
  </si>
  <si>
    <t>STATE/UT'S</t>
  </si>
  <si>
    <t>Cashewnut</t>
  </si>
  <si>
    <t>Arecanut</t>
  </si>
  <si>
    <t>Cocoa</t>
  </si>
  <si>
    <t>Coconut</t>
  </si>
  <si>
    <t>Total</t>
  </si>
  <si>
    <t>ANDAMAN &amp; NICOBAR</t>
  </si>
  <si>
    <t>CHHATTISGARH</t>
  </si>
  <si>
    <t>LAKSHADWEEP</t>
  </si>
  <si>
    <t>TAMILNADU</t>
  </si>
  <si>
    <t>FRUITS</t>
  </si>
  <si>
    <t>VEG.</t>
  </si>
  <si>
    <t>FLOWERS</t>
  </si>
  <si>
    <t xml:space="preserve">AROMATIC </t>
  </si>
  <si>
    <t>SPICES</t>
  </si>
  <si>
    <t>LOOSE</t>
  </si>
  <si>
    <t>CUT</t>
  </si>
  <si>
    <t>Crops</t>
  </si>
  <si>
    <t>Production</t>
  </si>
  <si>
    <t>Fruits</t>
  </si>
  <si>
    <t>Mango</t>
  </si>
  <si>
    <t>Apple</t>
  </si>
  <si>
    <t>Banana</t>
  </si>
  <si>
    <t>Guava</t>
  </si>
  <si>
    <t>Grapes</t>
  </si>
  <si>
    <t>Papaya</t>
  </si>
  <si>
    <t>Pineapple</t>
  </si>
  <si>
    <t>Pomegranate</t>
  </si>
  <si>
    <t>Sapota</t>
  </si>
  <si>
    <t>Others</t>
  </si>
  <si>
    <t>Vegetables</t>
  </si>
  <si>
    <t>Potato</t>
  </si>
  <si>
    <t>Onion</t>
  </si>
  <si>
    <t>Tomato</t>
  </si>
  <si>
    <t>Brinjal</t>
  </si>
  <si>
    <t>Cabbage</t>
  </si>
  <si>
    <t>Cauliflower</t>
  </si>
  <si>
    <t>Okra</t>
  </si>
  <si>
    <t>Peas</t>
  </si>
  <si>
    <t>Tapioca</t>
  </si>
  <si>
    <t>Sweet Potato</t>
  </si>
  <si>
    <t>Aromatic</t>
  </si>
  <si>
    <t>Flowers Loose</t>
  </si>
  <si>
    <t>Flowers Cut*</t>
  </si>
  <si>
    <t>Plantation Crops</t>
  </si>
  <si>
    <t>Spices</t>
  </si>
  <si>
    <t xml:space="preserve">Area </t>
  </si>
  <si>
    <t xml:space="preserve">STATES/Uts </t>
  </si>
  <si>
    <t>UTTARAKHAND</t>
  </si>
  <si>
    <t>ALMOND</t>
  </si>
  <si>
    <t>BAEL</t>
  </si>
  <si>
    <t>BER</t>
  </si>
  <si>
    <t>CUSTARD APPLE</t>
  </si>
  <si>
    <t>GRAPES</t>
  </si>
  <si>
    <t>JACK FRUIT</t>
  </si>
  <si>
    <t>KIWI</t>
  </si>
  <si>
    <t>PASSION FRUIT</t>
  </si>
  <si>
    <t>TOTAL CITRUS</t>
  </si>
  <si>
    <t>PEACH</t>
  </si>
  <si>
    <t>PEAR</t>
  </si>
  <si>
    <t>PICANUT</t>
  </si>
  <si>
    <t>PLUM</t>
  </si>
  <si>
    <t>POMEGRANATE</t>
  </si>
  <si>
    <t>STRAWBERRY</t>
  </si>
  <si>
    <t>WALNUT</t>
  </si>
  <si>
    <t>OTHER FRUITS</t>
  </si>
  <si>
    <t>TOTAL FRUITS</t>
  </si>
  <si>
    <t>LIME/LEMON</t>
  </si>
  <si>
    <t>OTHER CITRUS</t>
  </si>
  <si>
    <t>ARUNCHAL PRADESH</t>
  </si>
  <si>
    <t>BEANS</t>
  </si>
  <si>
    <t>CAPSICUM</t>
  </si>
  <si>
    <t>CARROT</t>
  </si>
  <si>
    <t>CAULIFLOWER</t>
  </si>
  <si>
    <t>CUCUMBER</t>
  </si>
  <si>
    <t>MUSKMELON</t>
  </si>
  <si>
    <t>RADISH</t>
  </si>
  <si>
    <t>SITAPHAL/PUMPKIN</t>
  </si>
  <si>
    <t>SWEET POTATO</t>
  </si>
  <si>
    <t>WATERMELON</t>
  </si>
  <si>
    <t>ARECANUT</t>
  </si>
  <si>
    <t>CASHEWNUT</t>
  </si>
  <si>
    <t>COCOA</t>
  </si>
  <si>
    <t>COCONUT</t>
  </si>
  <si>
    <t>Pepper</t>
  </si>
  <si>
    <t>Ginger</t>
  </si>
  <si>
    <t>Turmeric</t>
  </si>
  <si>
    <t>Garlic</t>
  </si>
  <si>
    <t>Cardamom</t>
  </si>
  <si>
    <t>Coriander</t>
  </si>
  <si>
    <t>Cumin</t>
  </si>
  <si>
    <t>Fennel</t>
  </si>
  <si>
    <t>Ajwan</t>
  </si>
  <si>
    <t>Nutmeg</t>
  </si>
  <si>
    <t>Clove</t>
  </si>
  <si>
    <t>Tamarind</t>
  </si>
  <si>
    <t>Aonla</t>
  </si>
  <si>
    <t>Ber</t>
  </si>
  <si>
    <t xml:space="preserve">Citrus </t>
  </si>
  <si>
    <t>(i)   Lime/Lemon</t>
  </si>
  <si>
    <t>(iv) Others</t>
  </si>
  <si>
    <t>Citrus Total (i to iv)</t>
  </si>
  <si>
    <t>Kiwi</t>
  </si>
  <si>
    <t>Litchi</t>
  </si>
  <si>
    <t>Peach</t>
  </si>
  <si>
    <t>Pear</t>
  </si>
  <si>
    <t>Plum</t>
  </si>
  <si>
    <t>Walnut</t>
  </si>
  <si>
    <t>Almond</t>
  </si>
  <si>
    <t>Total Fruits</t>
  </si>
  <si>
    <t>Beans</t>
  </si>
  <si>
    <t>Bitterguard</t>
  </si>
  <si>
    <t>Bottleguard</t>
  </si>
  <si>
    <t>Capsicum</t>
  </si>
  <si>
    <t>Carrot</t>
  </si>
  <si>
    <t>Cucumber</t>
  </si>
  <si>
    <t>Muskmelon</t>
  </si>
  <si>
    <t>Radish</t>
  </si>
  <si>
    <t>Sitaphal/Pumpkin</t>
  </si>
  <si>
    <t>Watermelon</t>
  </si>
  <si>
    <t>Chillies (Dried)</t>
  </si>
  <si>
    <t>Cinnamon/Tejpata</t>
  </si>
  <si>
    <t>F.Greek</t>
  </si>
  <si>
    <t>Vanilla</t>
  </si>
  <si>
    <t>Spice Total</t>
  </si>
  <si>
    <t>PLANTATION</t>
  </si>
  <si>
    <t xml:space="preserve">KARNATAKA </t>
  </si>
  <si>
    <t>(ii) Mandarin</t>
  </si>
  <si>
    <t>(iii) Sweet Orange(  Mosambi)</t>
  </si>
  <si>
    <t>Jackfruit</t>
  </si>
  <si>
    <t>Custardapple</t>
  </si>
  <si>
    <t>Celery,Dill &amp; Poppy</t>
  </si>
  <si>
    <t>Figure of Production under Grand Total does not include Production of Cut-Flowers</t>
  </si>
  <si>
    <t xml:space="preserve">CHHATISHGARH </t>
  </si>
  <si>
    <t>PUDUCHERRY</t>
  </si>
  <si>
    <t>ANTHURIUM</t>
  </si>
  <si>
    <t>CARNATION</t>
  </si>
  <si>
    <t>CHRYSANTHEMUM</t>
  </si>
  <si>
    <t>GERBERA</t>
  </si>
  <si>
    <t>GLADIOUS</t>
  </si>
  <si>
    <t>JASMINE</t>
  </si>
  <si>
    <t>MARIGOLD</t>
  </si>
  <si>
    <t>ORCHIDS</t>
  </si>
  <si>
    <t>ROSE</t>
  </si>
  <si>
    <t>TUBE ROSE</t>
  </si>
  <si>
    <t>TULIP</t>
  </si>
  <si>
    <t>TOTAL  FLOWERS</t>
  </si>
  <si>
    <t xml:space="preserve">LOOSE </t>
  </si>
  <si>
    <t>Spices : Directorate of  Arecanut &amp; Spices Development</t>
  </si>
  <si>
    <t>MANDARIN(M. ORANGE ,KINNOW,ORANGE)</t>
  </si>
  <si>
    <t>SWEET ORANGE(MALTA , MOSAMBI)</t>
  </si>
  <si>
    <t>Fruits, Vegetables, Flowers, Aromatic/Medicinal Plants  - State Directorates of Horticulture</t>
  </si>
  <si>
    <t>AONLA</t>
  </si>
  <si>
    <t>* Cut flowers in Lakh Nos.</t>
  </si>
  <si>
    <t>Chillies</t>
  </si>
  <si>
    <t>F. Greek</t>
  </si>
  <si>
    <t xml:space="preserve">Dill / Poppy /Celery </t>
  </si>
  <si>
    <t>Cinnamon /Tejpat</t>
  </si>
  <si>
    <t>Saffron / Vanilla</t>
  </si>
  <si>
    <t>Plantation Crops:- Coconut (CDB), Arecanut (Directorate Arecanut &amp; Spice Dev), Cashew &amp; Cocoa (Directorate of Cashew  &amp; Cocoa Development) and State Directorate of Horticulture.</t>
  </si>
  <si>
    <t>BITTERGOURD</t>
  </si>
  <si>
    <t>BOTTLEGOURD</t>
  </si>
  <si>
    <t>ODISHA</t>
  </si>
  <si>
    <t>Area and Production of Horticulture Crops - All India</t>
  </si>
  <si>
    <t>Final</t>
  </si>
  <si>
    <t>2010-11</t>
  </si>
  <si>
    <t>Passion Fruit</t>
  </si>
  <si>
    <t>PARWAL</t>
  </si>
  <si>
    <t xml:space="preserve">Area in '000 Ha </t>
  </si>
  <si>
    <t xml:space="preserve">Production in '000 MT </t>
  </si>
  <si>
    <t>2011-12</t>
  </si>
  <si>
    <t>Area in '000 Ha</t>
  </si>
  <si>
    <t>Production in '000 MT</t>
  </si>
  <si>
    <t>Area and Production of Horticulture Crops 2011-12 (Final)</t>
  </si>
  <si>
    <t>Note : Area in '000 Ha</t>
  </si>
  <si>
    <t>P(Cut)= Production in (lakh Nos)</t>
  </si>
  <si>
    <t>A= '000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</si>
</sst>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0.000"/>
  </numFmts>
  <fonts count="4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0"/>
      <color indexed="8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6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9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9">
    <xf numFmtId="0" fontId="0" fillId="0" borderId="0" xfId="0"/>
    <xf numFmtId="172" fontId="20" fillId="24" borderId="10" xfId="51" applyNumberFormat="1" applyFont="1" applyFill="1" applyBorder="1" applyAlignment="1">
      <alignment horizontal="center" vertical="top" wrapText="1"/>
    </xf>
    <xf numFmtId="172" fontId="20" fillId="24" borderId="11" xfId="51" applyNumberFormat="1" applyFont="1" applyFill="1" applyBorder="1" applyAlignment="1">
      <alignment horizontal="center" vertical="top" wrapText="1"/>
    </xf>
    <xf numFmtId="172" fontId="20" fillId="24" borderId="11" xfId="51" applyNumberFormat="1" applyFont="1" applyFill="1" applyBorder="1" applyAlignment="1">
      <alignment vertical="top" wrapText="1"/>
    </xf>
    <xf numFmtId="172" fontId="20" fillId="24" borderId="11" xfId="51" applyNumberFormat="1" applyFont="1" applyFill="1" applyBorder="1"/>
    <xf numFmtId="172" fontId="22" fillId="24" borderId="11" xfId="51" applyNumberFormat="1" applyFont="1" applyFill="1" applyBorder="1"/>
    <xf numFmtId="172" fontId="25" fillId="24" borderId="11" xfId="37" applyNumberFormat="1" applyFont="1" applyFill="1" applyBorder="1" applyAlignment="1">
      <alignment horizontal="center"/>
    </xf>
    <xf numFmtId="172" fontId="25" fillId="24" borderId="11" xfId="37" applyNumberFormat="1" applyFont="1" applyFill="1" applyBorder="1"/>
    <xf numFmtId="172" fontId="25" fillId="24" borderId="11" xfId="48" applyNumberFormat="1" applyFont="1" applyFill="1" applyBorder="1"/>
    <xf numFmtId="172" fontId="21" fillId="24" borderId="12" xfId="51" applyNumberFormat="1" applyFont="1" applyFill="1" applyBorder="1" applyAlignment="1">
      <alignment horizontal="center" vertical="top" wrapText="1"/>
    </xf>
    <xf numFmtId="172" fontId="21" fillId="24" borderId="13" xfId="51" applyNumberFormat="1" applyFont="1" applyFill="1" applyBorder="1" applyAlignment="1">
      <alignment horizontal="center" vertical="top" wrapText="1"/>
    </xf>
    <xf numFmtId="172" fontId="20" fillId="24" borderId="13" xfId="51" applyNumberFormat="1" applyFont="1" applyFill="1" applyBorder="1" applyAlignment="1">
      <alignment horizontal="center" vertical="top" wrapText="1"/>
    </xf>
    <xf numFmtId="172" fontId="20" fillId="24" borderId="12" xfId="51" applyNumberFormat="1" applyFont="1" applyFill="1" applyBorder="1" applyAlignment="1">
      <alignment vertical="top"/>
    </xf>
    <xf numFmtId="172" fontId="20" fillId="24" borderId="13" xfId="51" applyNumberFormat="1" applyFont="1" applyFill="1" applyBorder="1" applyAlignment="1">
      <alignment vertical="top"/>
    </xf>
    <xf numFmtId="172" fontId="25" fillId="24" borderId="11" xfId="0" applyNumberFormat="1" applyFont="1" applyFill="1" applyBorder="1" applyAlignment="1">
      <alignment horizontal="center"/>
    </xf>
    <xf numFmtId="172" fontId="25" fillId="24" borderId="13" xfId="0" applyNumberFormat="1" applyFont="1" applyFill="1" applyBorder="1" applyAlignment="1">
      <alignment horizontal="center"/>
    </xf>
    <xf numFmtId="0" fontId="26" fillId="24" borderId="0" xfId="0" applyFont="1" applyFill="1"/>
    <xf numFmtId="172" fontId="27" fillId="24" borderId="11" xfId="0" applyNumberFormat="1" applyFont="1" applyFill="1" applyBorder="1"/>
    <xf numFmtId="172" fontId="27" fillId="24" borderId="0" xfId="0" applyNumberFormat="1" applyFont="1" applyFill="1"/>
    <xf numFmtId="172" fontId="25" fillId="24" borderId="14" xfId="37" applyNumberFormat="1" applyFont="1" applyFill="1" applyBorder="1"/>
    <xf numFmtId="172" fontId="28" fillId="24" borderId="0" xfId="51" applyNumberFormat="1" applyFont="1" applyFill="1" applyBorder="1" applyAlignment="1"/>
    <xf numFmtId="172" fontId="28" fillId="24" borderId="0" xfId="51" applyNumberFormat="1" applyFont="1" applyFill="1" applyBorder="1"/>
    <xf numFmtId="172" fontId="28" fillId="24" borderId="0" xfId="51" applyNumberFormat="1" applyFont="1" applyFill="1" applyBorder="1" applyAlignment="1">
      <alignment vertical="top" wrapText="1"/>
    </xf>
    <xf numFmtId="172" fontId="22" fillId="24" borderId="0" xfId="51" applyNumberFormat="1" applyFont="1" applyFill="1" applyBorder="1" applyAlignment="1"/>
    <xf numFmtId="172" fontId="22" fillId="24" borderId="0" xfId="51" applyNumberFormat="1" applyFont="1" applyFill="1" applyBorder="1" applyAlignment="1">
      <alignment horizontal="left" vertical="center"/>
    </xf>
    <xf numFmtId="172" fontId="25" fillId="24" borderId="11" xfId="55" applyNumberFormat="1" applyFont="1" applyFill="1" applyBorder="1"/>
    <xf numFmtId="172" fontId="29" fillId="24" borderId="0" xfId="0" applyNumberFormat="1" applyFont="1" applyFill="1"/>
    <xf numFmtId="172" fontId="30" fillId="24" borderId="0" xfId="0" applyNumberFormat="1" applyFont="1" applyFill="1"/>
    <xf numFmtId="0" fontId="27" fillId="24" borderId="0" xfId="0" applyFont="1" applyFill="1"/>
    <xf numFmtId="2" fontId="25" fillId="24" borderId="11" xfId="0" applyNumberFormat="1" applyFont="1" applyFill="1" applyBorder="1" applyAlignment="1">
      <alignment horizontal="center"/>
    </xf>
    <xf numFmtId="2" fontId="25" fillId="24" borderId="11" xfId="37" applyNumberFormat="1" applyFont="1" applyFill="1" applyBorder="1" applyAlignment="1">
      <alignment horizontal="center"/>
    </xf>
    <xf numFmtId="2" fontId="25" fillId="24" borderId="13" xfId="0" applyNumberFormat="1" applyFont="1" applyFill="1" applyBorder="1" applyAlignment="1">
      <alignment horizontal="center"/>
    </xf>
    <xf numFmtId="2" fontId="25" fillId="24" borderId="14" xfId="37" applyNumberFormat="1" applyFont="1" applyFill="1" applyBorder="1"/>
    <xf numFmtId="2" fontId="27" fillId="24" borderId="11" xfId="0" applyNumberFormat="1" applyFont="1" applyFill="1" applyBorder="1"/>
    <xf numFmtId="2" fontId="19" fillId="24" borderId="11" xfId="0" applyNumberFormat="1" applyFont="1" applyFill="1" applyBorder="1"/>
    <xf numFmtId="2" fontId="25" fillId="24" borderId="14" xfId="48" applyNumberFormat="1" applyFont="1" applyFill="1" applyBorder="1"/>
    <xf numFmtId="2" fontId="14" fillId="24" borderId="11" xfId="0" applyNumberFormat="1" applyFont="1" applyFill="1" applyBorder="1"/>
    <xf numFmtId="2" fontId="26" fillId="24" borderId="11" xfId="0" applyNumberFormat="1" applyFont="1" applyFill="1" applyBorder="1"/>
    <xf numFmtId="2" fontId="25" fillId="24" borderId="11" xfId="0" applyNumberFormat="1" applyFont="1" applyFill="1" applyBorder="1"/>
    <xf numFmtId="2" fontId="32" fillId="24" borderId="11" xfId="0" applyNumberFormat="1" applyFont="1" applyFill="1" applyBorder="1" applyAlignment="1">
      <alignment horizontal="center"/>
    </xf>
    <xf numFmtId="2" fontId="25" fillId="24" borderId="11" xfId="37" applyNumberFormat="1" applyFont="1" applyFill="1" applyBorder="1"/>
    <xf numFmtId="2" fontId="25" fillId="24" borderId="11" xfId="48" applyNumberFormat="1" applyFont="1" applyFill="1" applyBorder="1"/>
    <xf numFmtId="2" fontId="0" fillId="24" borderId="11" xfId="0" applyNumberFormat="1" applyFill="1" applyBorder="1" applyAlignment="1">
      <alignment horizontal="right"/>
    </xf>
    <xf numFmtId="2" fontId="0" fillId="24" borderId="0" xfId="0" applyNumberFormat="1" applyFill="1"/>
    <xf numFmtId="2" fontId="25" fillId="24" borderId="11" xfId="55" applyNumberFormat="1" applyFont="1" applyFill="1" applyBorder="1"/>
    <xf numFmtId="173" fontId="0" fillId="24" borderId="11" xfId="0" applyNumberFormat="1" applyFill="1" applyBorder="1"/>
    <xf numFmtId="173" fontId="33" fillId="24" borderId="11" xfId="0" applyNumberFormat="1" applyFont="1" applyFill="1" applyBorder="1" applyAlignment="1">
      <alignment horizontal="right"/>
    </xf>
    <xf numFmtId="173" fontId="0" fillId="24" borderId="0" xfId="0" applyNumberFormat="1" applyFill="1"/>
    <xf numFmtId="173" fontId="31" fillId="24" borderId="11" xfId="0" applyNumberFormat="1" applyFont="1" applyFill="1" applyBorder="1"/>
    <xf numFmtId="1" fontId="34" fillId="24" borderId="11" xfId="52" applyNumberFormat="1" applyFont="1" applyFill="1" applyBorder="1" applyAlignment="1">
      <alignment horizontal="right" vertical="center" indent="1"/>
    </xf>
    <xf numFmtId="1" fontId="34" fillId="0" borderId="11" xfId="0" applyNumberFormat="1" applyFont="1" applyBorder="1"/>
    <xf numFmtId="2" fontId="0" fillId="24" borderId="11" xfId="0" applyNumberFormat="1" applyFill="1" applyBorder="1"/>
    <xf numFmtId="173" fontId="25" fillId="24" borderId="11" xfId="0" applyNumberFormat="1" applyFont="1" applyFill="1" applyBorder="1"/>
    <xf numFmtId="1" fontId="37" fillId="24" borderId="11" xfId="52" applyNumberFormat="1" applyFont="1" applyFill="1" applyBorder="1" applyAlignment="1">
      <alignment horizontal="center" vertical="center"/>
    </xf>
    <xf numFmtId="1" fontId="35" fillId="24" borderId="11" xfId="52" applyNumberFormat="1" applyFont="1" applyFill="1" applyBorder="1" applyAlignment="1">
      <alignment vertical="center"/>
    </xf>
    <xf numFmtId="1" fontId="37" fillId="24" borderId="11" xfId="52" applyNumberFormat="1" applyFont="1" applyFill="1" applyBorder="1" applyAlignment="1">
      <alignment horizontal="right" vertical="center" indent="1"/>
    </xf>
    <xf numFmtId="1" fontId="34" fillId="24" borderId="11" xfId="52" applyNumberFormat="1" applyFont="1" applyFill="1" applyBorder="1" applyAlignment="1">
      <alignment vertical="center"/>
    </xf>
    <xf numFmtId="1" fontId="36" fillId="24" borderId="11" xfId="52" applyNumberFormat="1" applyFont="1" applyFill="1" applyBorder="1" applyAlignment="1">
      <alignment vertical="center"/>
    </xf>
    <xf numFmtId="1" fontId="37" fillId="24" borderId="11" xfId="52" applyNumberFormat="1" applyFont="1" applyFill="1" applyBorder="1" applyAlignment="1">
      <alignment vertical="center"/>
    </xf>
    <xf numFmtId="1" fontId="35" fillId="24" borderId="11" xfId="52" applyNumberFormat="1" applyFont="1" applyFill="1" applyBorder="1" applyAlignment="1">
      <alignment horizontal="left" vertical="center"/>
    </xf>
    <xf numFmtId="1" fontId="38" fillId="24" borderId="11" xfId="52" applyNumberFormat="1" applyFont="1" applyFill="1" applyBorder="1" applyAlignment="1">
      <alignment horizontal="left" vertical="center"/>
    </xf>
    <xf numFmtId="1" fontId="38" fillId="24" borderId="11" xfId="52" applyNumberFormat="1" applyFont="1" applyFill="1" applyBorder="1" applyAlignment="1">
      <alignment vertical="center"/>
    </xf>
    <xf numFmtId="1" fontId="37" fillId="24" borderId="11" xfId="37" applyNumberFormat="1" applyFont="1" applyFill="1" applyBorder="1" applyAlignment="1"/>
    <xf numFmtId="1" fontId="37" fillId="24" borderId="11" xfId="37" applyNumberFormat="1" applyFont="1" applyFill="1" applyBorder="1" applyAlignment="1">
      <alignment horizontal="left"/>
    </xf>
    <xf numFmtId="1" fontId="34" fillId="24" borderId="11" xfId="52" applyNumberFormat="1" applyFont="1" applyFill="1" applyBorder="1" applyAlignment="1">
      <alignment horizontal="left" vertical="center"/>
    </xf>
    <xf numFmtId="1" fontId="37" fillId="24" borderId="11" xfId="52" applyNumberFormat="1" applyFont="1" applyFill="1" applyBorder="1" applyAlignment="1">
      <alignment horizontal="left" vertical="center"/>
    </xf>
    <xf numFmtId="172" fontId="26" fillId="24" borderId="0" xfId="0" applyNumberFormat="1" applyFont="1" applyFill="1"/>
    <xf numFmtId="172" fontId="26" fillId="24" borderId="11" xfId="0" applyNumberFormat="1" applyFont="1" applyFill="1" applyBorder="1"/>
    <xf numFmtId="172" fontId="25" fillId="24" borderId="11" xfId="0" applyNumberFormat="1" applyFont="1" applyFill="1" applyBorder="1"/>
    <xf numFmtId="173" fontId="27" fillId="24" borderId="11" xfId="0" applyNumberFormat="1" applyFont="1" applyFill="1" applyBorder="1"/>
    <xf numFmtId="1" fontId="37" fillId="24" borderId="11" xfId="52" applyNumberFormat="1" applyFont="1" applyFill="1" applyBorder="1" applyAlignment="1">
      <alignment horizontal="right" vertical="center"/>
    </xf>
    <xf numFmtId="1" fontId="34" fillId="24" borderId="11" xfId="52" applyNumberFormat="1" applyFont="1" applyFill="1" applyBorder="1" applyAlignment="1">
      <alignment horizontal="right" vertical="center"/>
    </xf>
    <xf numFmtId="1" fontId="37" fillId="24" borderId="11" xfId="37" applyNumberFormat="1" applyFont="1" applyFill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34" fillId="0" borderId="11" xfId="0" applyNumberFormat="1" applyFont="1" applyBorder="1" applyAlignment="1">
      <alignment horizontal="right"/>
    </xf>
    <xf numFmtId="1" fontId="35" fillId="24" borderId="11" xfId="52" applyNumberFormat="1" applyFont="1" applyFill="1" applyBorder="1" applyAlignment="1">
      <alignment horizontal="right" vertical="center"/>
    </xf>
    <xf numFmtId="1" fontId="36" fillId="24" borderId="11" xfId="52" applyNumberFormat="1" applyFont="1" applyFill="1" applyBorder="1" applyAlignment="1">
      <alignment horizontal="right" vertical="center"/>
    </xf>
    <xf numFmtId="1" fontId="38" fillId="24" borderId="11" xfId="52" applyNumberFormat="1" applyFont="1" applyFill="1" applyBorder="1" applyAlignment="1">
      <alignment horizontal="right" vertical="center"/>
    </xf>
    <xf numFmtId="1" fontId="34" fillId="24" borderId="11" xfId="37" applyNumberFormat="1" applyFont="1" applyFill="1" applyBorder="1" applyAlignment="1">
      <alignment horizontal="right"/>
    </xf>
    <xf numFmtId="1" fontId="43" fillId="0" borderId="11" xfId="0" applyNumberFormat="1" applyFont="1" applyBorder="1" applyAlignment="1">
      <alignment horizontal="right"/>
    </xf>
    <xf numFmtId="1" fontId="0" fillId="0" borderId="11" xfId="0" applyNumberFormat="1" applyBorder="1"/>
    <xf numFmtId="1" fontId="41" fillId="0" borderId="11" xfId="0" applyNumberFormat="1" applyFont="1" applyBorder="1" applyAlignment="1"/>
    <xf numFmtId="1" fontId="40" fillId="0" borderId="11" xfId="0" applyNumberFormat="1" applyFont="1" applyBorder="1"/>
    <xf numFmtId="1" fontId="39" fillId="0" borderId="11" xfId="0" applyNumberFormat="1" applyFont="1" applyBorder="1"/>
    <xf numFmtId="1" fontId="37" fillId="24" borderId="14" xfId="51" applyNumberFormat="1" applyFont="1" applyFill="1" applyBorder="1" applyAlignment="1"/>
    <xf numFmtId="1" fontId="37" fillId="24" borderId="15" xfId="51" applyNumberFormat="1" applyFont="1" applyFill="1" applyBorder="1" applyAlignment="1"/>
    <xf numFmtId="1" fontId="37" fillId="24" borderId="10" xfId="51" applyNumberFormat="1" applyFont="1" applyFill="1" applyBorder="1" applyAlignment="1"/>
    <xf numFmtId="173" fontId="19" fillId="24" borderId="11" xfId="0" applyNumberFormat="1" applyFont="1" applyFill="1" applyBorder="1"/>
    <xf numFmtId="173" fontId="27" fillId="24" borderId="0" xfId="0" applyNumberFormat="1" applyFont="1" applyFill="1"/>
    <xf numFmtId="2" fontId="25" fillId="24" borderId="14" xfId="55" applyNumberFormat="1" applyFont="1" applyFill="1" applyBorder="1"/>
    <xf numFmtId="172" fontId="31" fillId="24" borderId="0" xfId="0" applyNumberFormat="1" applyFont="1" applyFill="1"/>
    <xf numFmtId="172" fontId="20" fillId="24" borderId="0" xfId="51" applyNumberFormat="1" applyFont="1" applyFill="1" applyBorder="1"/>
    <xf numFmtId="2" fontId="19" fillId="24" borderId="0" xfId="0" applyNumberFormat="1" applyFont="1" applyFill="1" applyBorder="1"/>
    <xf numFmtId="172" fontId="37" fillId="24" borderId="0" xfId="0" applyNumberFormat="1" applyFont="1" applyFill="1"/>
    <xf numFmtId="0" fontId="19" fillId="24" borderId="0" xfId="0" applyFont="1" applyFill="1"/>
    <xf numFmtId="0" fontId="19" fillId="24" borderId="0" xfId="0" applyFont="1" applyFill="1" applyAlignment="1">
      <alignment wrapText="1"/>
    </xf>
    <xf numFmtId="1" fontId="37" fillId="24" borderId="15" xfId="52" applyNumberFormat="1" applyFont="1" applyFill="1" applyBorder="1" applyAlignment="1">
      <alignment horizontal="center" vertical="center"/>
    </xf>
    <xf numFmtId="1" fontId="37" fillId="24" borderId="10" xfId="52" applyNumberFormat="1" applyFont="1" applyFill="1" applyBorder="1" applyAlignment="1">
      <alignment horizontal="center" vertical="center"/>
    </xf>
    <xf numFmtId="1" fontId="42" fillId="0" borderId="11" xfId="0" applyNumberFormat="1" applyFont="1" applyBorder="1" applyAlignment="1">
      <alignment horizontal="center"/>
    </xf>
    <xf numFmtId="1" fontId="37" fillId="24" borderId="11" xfId="52" applyNumberFormat="1" applyFont="1" applyFill="1" applyBorder="1" applyAlignment="1">
      <alignment horizontal="center" vertical="center"/>
    </xf>
    <xf numFmtId="1" fontId="19" fillId="0" borderId="14" xfId="0" applyNumberFormat="1" applyFont="1" applyBorder="1" applyAlignment="1">
      <alignment horizontal="right"/>
    </xf>
    <xf numFmtId="1" fontId="19" fillId="0" borderId="15" xfId="0" applyNumberFormat="1" applyFont="1" applyBorder="1" applyAlignment="1">
      <alignment horizontal="right"/>
    </xf>
    <xf numFmtId="172" fontId="22" fillId="24" borderId="0" xfId="51" applyNumberFormat="1" applyFont="1" applyFill="1" applyBorder="1" applyAlignment="1">
      <alignment horizontal="left" vertical="center"/>
    </xf>
    <xf numFmtId="172" fontId="20" fillId="24" borderId="14" xfId="51" applyNumberFormat="1" applyFont="1" applyFill="1" applyBorder="1" applyAlignment="1">
      <alignment horizontal="center" vertical="top" wrapText="1"/>
    </xf>
    <xf numFmtId="172" fontId="20" fillId="24" borderId="10" xfId="51" applyNumberFormat="1" applyFont="1" applyFill="1" applyBorder="1" applyAlignment="1">
      <alignment horizontal="center" vertical="top" wrapText="1"/>
    </xf>
    <xf numFmtId="172" fontId="20" fillId="24" borderId="11" xfId="51" applyNumberFormat="1" applyFont="1" applyFill="1" applyBorder="1" applyAlignment="1">
      <alignment horizontal="center" vertical="top"/>
    </xf>
    <xf numFmtId="172" fontId="20" fillId="24" borderId="11" xfId="51" applyNumberFormat="1" applyFont="1" applyFill="1" applyBorder="1" applyAlignment="1">
      <alignment horizontal="center" vertical="top" wrapText="1"/>
    </xf>
    <xf numFmtId="172" fontId="20" fillId="24" borderId="10" xfId="51" applyNumberFormat="1" applyFont="1" applyFill="1" applyBorder="1" applyAlignment="1">
      <alignment horizontal="center" vertical="top"/>
    </xf>
    <xf numFmtId="172" fontId="41" fillId="24" borderId="0" xfId="0" applyNumberFormat="1" applyFont="1" applyFill="1" applyAlignment="1">
      <alignment horizontal="center"/>
    </xf>
    <xf numFmtId="172" fontId="19" fillId="24" borderId="0" xfId="0" applyNumberFormat="1" applyFont="1" applyFill="1" applyAlignment="1">
      <alignment horizontal="right"/>
    </xf>
    <xf numFmtId="172" fontId="19" fillId="24" borderId="16" xfId="0" applyNumberFormat="1" applyFont="1" applyFill="1" applyBorder="1" applyAlignment="1">
      <alignment horizontal="right"/>
    </xf>
    <xf numFmtId="172" fontId="25" fillId="24" borderId="11" xfId="0" applyNumberFormat="1" applyFont="1" applyFill="1" applyBorder="1" applyAlignment="1">
      <alignment horizontal="center"/>
    </xf>
    <xf numFmtId="172" fontId="25" fillId="24" borderId="14" xfId="0" applyNumberFormat="1" applyFont="1" applyFill="1" applyBorder="1" applyAlignment="1">
      <alignment horizontal="center"/>
    </xf>
    <xf numFmtId="172" fontId="25" fillId="24" borderId="10" xfId="0" applyNumberFormat="1" applyFont="1" applyFill="1" applyBorder="1" applyAlignment="1">
      <alignment horizontal="center"/>
    </xf>
    <xf numFmtId="172" fontId="25" fillId="24" borderId="14" xfId="52" applyNumberFormat="1" applyFont="1" applyFill="1" applyBorder="1" applyAlignment="1">
      <alignment horizontal="center" vertical="center" wrapText="1"/>
    </xf>
    <xf numFmtId="172" fontId="25" fillId="24" borderId="10" xfId="52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/>
    </xf>
    <xf numFmtId="172" fontId="25" fillId="24" borderId="11" xfId="0" applyNumberFormat="1" applyFont="1" applyFill="1" applyBorder="1" applyAlignment="1">
      <alignment horizontal="center" wrapText="1"/>
    </xf>
    <xf numFmtId="172" fontId="25" fillId="24" borderId="14" xfId="0" applyNumberFormat="1" applyFont="1" applyFill="1" applyBorder="1" applyAlignment="1">
      <alignment horizontal="center" wrapText="1"/>
    </xf>
    <xf numFmtId="172" fontId="25" fillId="24" borderId="10" xfId="0" applyNumberFormat="1" applyFont="1" applyFill="1" applyBorder="1" applyAlignment="1">
      <alignment horizontal="center" wrapText="1"/>
    </xf>
    <xf numFmtId="172" fontId="25" fillId="24" borderId="14" xfId="52" applyNumberFormat="1" applyFont="1" applyFill="1" applyBorder="1" applyAlignment="1">
      <alignment horizontal="center" vertical="center"/>
    </xf>
    <xf numFmtId="172" fontId="25" fillId="24" borderId="10" xfId="52" applyNumberFormat="1" applyFont="1" applyFill="1" applyBorder="1" applyAlignment="1">
      <alignment horizontal="center" vertical="center"/>
    </xf>
    <xf numFmtId="172" fontId="25" fillId="24" borderId="11" xfId="52" applyNumberFormat="1" applyFont="1" applyFill="1" applyBorder="1" applyAlignment="1">
      <alignment horizontal="center" vertical="center"/>
    </xf>
    <xf numFmtId="2" fontId="32" fillId="24" borderId="11" xfId="0" applyNumberFormat="1" applyFont="1" applyFill="1" applyBorder="1" applyAlignment="1">
      <alignment horizontal="center"/>
    </xf>
    <xf numFmtId="2" fontId="32" fillId="24" borderId="11" xfId="0" applyNumberFormat="1" applyFont="1" applyFill="1" applyBorder="1" applyAlignment="1">
      <alignment horizontal="center" vertical="justify"/>
    </xf>
    <xf numFmtId="2" fontId="25" fillId="24" borderId="11" xfId="0" applyNumberFormat="1" applyFont="1" applyFill="1" applyBorder="1" applyAlignment="1">
      <alignment horizontal="center"/>
    </xf>
    <xf numFmtId="2" fontId="25" fillId="24" borderId="14" xfId="0" applyNumberFormat="1" applyFont="1" applyFill="1" applyBorder="1" applyAlignment="1">
      <alignment horizontal="center"/>
    </xf>
    <xf numFmtId="2" fontId="25" fillId="24" borderId="15" xfId="0" applyNumberFormat="1" applyFont="1" applyFill="1" applyBorder="1" applyAlignment="1">
      <alignment horizontal="center"/>
    </xf>
    <xf numFmtId="2" fontId="25" fillId="24" borderId="10" xfId="0" applyNumberFormat="1" applyFont="1" applyFill="1" applyBorder="1" applyAlignment="1">
      <alignment horizontal="center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1" xfId="38"/>
    <cellStyle name="Normal 12" xfId="39"/>
    <cellStyle name="Normal 13" xfId="40"/>
    <cellStyle name="Normal 14" xfId="41"/>
    <cellStyle name="Normal 2" xfId="42"/>
    <cellStyle name="Normal 2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rmal_08-09(1)" xfId="51"/>
    <cellStyle name="Normal_summary 2" xfId="52"/>
    <cellStyle name="Note" xfId="53" builtinId="10" customBuiltin="1"/>
    <cellStyle name="Output" xfId="54" builtinId="21" customBuiltin="1"/>
    <cellStyle name="Percent 2" xfId="55"/>
    <cellStyle name="Title" xfId="56" builtinId="15" customBuiltin="1"/>
    <cellStyle name="Total" xfId="57" builtinId="25" customBuiltin="1"/>
    <cellStyle name="Warning Text" xfId="5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zoomScaleNormal="100" workbookViewId="0">
      <pane xSplit="1" ySplit="6" topLeftCell="B94" activePane="bottomRight" state="frozen"/>
      <selection pane="topRight" activeCell="B1" sqref="B1"/>
      <selection pane="bottomLeft" activeCell="A7" sqref="A7"/>
      <selection pane="bottomRight" activeCell="J22" sqref="J22"/>
    </sheetView>
  </sheetViews>
  <sheetFormatPr defaultColWidth="9.85546875" defaultRowHeight="19.5" customHeight="1" x14ac:dyDescent="0.2"/>
  <cols>
    <col min="1" max="1" width="39" style="80" customWidth="1"/>
    <col min="2" max="5" width="27.42578125" style="80" customWidth="1"/>
    <col min="6" max="16384" width="9.85546875" style="80"/>
  </cols>
  <sheetData>
    <row r="1" spans="1:5" ht="26.25" customHeight="1" x14ac:dyDescent="0.25">
      <c r="A1" s="98" t="s">
        <v>215</v>
      </c>
      <c r="B1" s="98"/>
      <c r="C1" s="98"/>
      <c r="D1" s="98"/>
      <c r="E1" s="98"/>
    </row>
    <row r="2" spans="1:5" s="81" customFormat="1" ht="16.5" customHeight="1" x14ac:dyDescent="0.25">
      <c r="A2" s="100" t="s">
        <v>220</v>
      </c>
      <c r="B2" s="101"/>
      <c r="C2" s="101"/>
      <c r="D2" s="101"/>
      <c r="E2" s="101"/>
    </row>
    <row r="3" spans="1:5" s="81" customFormat="1" ht="16.5" customHeight="1" x14ac:dyDescent="0.25">
      <c r="A3" s="100" t="s">
        <v>221</v>
      </c>
      <c r="B3" s="101"/>
      <c r="C3" s="101"/>
      <c r="D3" s="101"/>
      <c r="E3" s="101"/>
    </row>
    <row r="4" spans="1:5" ht="24" customHeight="1" x14ac:dyDescent="0.2">
      <c r="A4" s="58" t="s">
        <v>69</v>
      </c>
      <c r="B4" s="99" t="s">
        <v>217</v>
      </c>
      <c r="C4" s="99"/>
      <c r="D4" s="96" t="s">
        <v>222</v>
      </c>
      <c r="E4" s="97"/>
    </row>
    <row r="5" spans="1:5" ht="24" customHeight="1" x14ac:dyDescent="0.2">
      <c r="A5" s="58"/>
      <c r="B5" s="99" t="s">
        <v>216</v>
      </c>
      <c r="C5" s="99"/>
      <c r="D5" s="99" t="s">
        <v>216</v>
      </c>
      <c r="E5" s="99"/>
    </row>
    <row r="6" spans="1:5" ht="24" customHeight="1" x14ac:dyDescent="0.2">
      <c r="A6" s="54" t="s">
        <v>71</v>
      </c>
      <c r="B6" s="55" t="s">
        <v>98</v>
      </c>
      <c r="C6" s="53" t="s">
        <v>70</v>
      </c>
      <c r="D6" s="55" t="s">
        <v>98</v>
      </c>
      <c r="E6" s="53" t="s">
        <v>70</v>
      </c>
    </row>
    <row r="7" spans="1:5" ht="19.5" customHeight="1" x14ac:dyDescent="0.2">
      <c r="A7" s="56" t="s">
        <v>160</v>
      </c>
      <c r="B7" s="71">
        <v>23.231999999999999</v>
      </c>
      <c r="C7" s="71">
        <v>14.321</v>
      </c>
      <c r="D7" s="73">
        <f>'Fruits11-12'!B38</f>
        <v>22.389999999999997</v>
      </c>
      <c r="E7" s="73">
        <f>'Fruits11-12'!C38</f>
        <v>4.3421699999999994</v>
      </c>
    </row>
    <row r="8" spans="1:5" ht="19.5" customHeight="1" x14ac:dyDescent="0.2">
      <c r="A8" s="56" t="s">
        <v>148</v>
      </c>
      <c r="B8" s="71">
        <v>66.960000000000008</v>
      </c>
      <c r="C8" s="71">
        <v>677.01200000000006</v>
      </c>
      <c r="D8" s="73">
        <f>'Fruits11-12'!D38</f>
        <v>95.162960000000012</v>
      </c>
      <c r="E8" s="73">
        <f>'Fruits11-12'!E38</f>
        <v>960.93709999999999</v>
      </c>
    </row>
    <row r="9" spans="1:5" ht="19.5" customHeight="1" x14ac:dyDescent="0.25">
      <c r="A9" s="50" t="s">
        <v>73</v>
      </c>
      <c r="B9" s="74">
        <v>289.09800000000007</v>
      </c>
      <c r="C9" s="74">
        <v>2890.5990000000002</v>
      </c>
      <c r="D9" s="73">
        <f>'Fruits11-12'!F38</f>
        <v>321.8784</v>
      </c>
      <c r="E9" s="73">
        <f>'Fruits11-12'!G38</f>
        <v>2203.3719999999998</v>
      </c>
    </row>
    <row r="10" spans="1:5" ht="19.5" customHeight="1" x14ac:dyDescent="0.2">
      <c r="A10" s="56" t="s">
        <v>74</v>
      </c>
      <c r="B10" s="71">
        <v>830.4609999999999</v>
      </c>
      <c r="C10" s="71">
        <v>29779.904999999995</v>
      </c>
      <c r="D10" s="73">
        <f>'Fruits11-12'!J38</f>
        <v>796.50099999999998</v>
      </c>
      <c r="E10" s="73">
        <f>'Fruits11-12'!K38</f>
        <v>28455.059000000001</v>
      </c>
    </row>
    <row r="11" spans="1:5" ht="19.5" customHeight="1" x14ac:dyDescent="0.2">
      <c r="A11" s="56" t="s">
        <v>149</v>
      </c>
      <c r="B11" s="71">
        <v>22.497</v>
      </c>
      <c r="C11" s="71">
        <v>187.83800000000002</v>
      </c>
      <c r="D11" s="73">
        <f>'Fruits11-12'!L38</f>
        <v>33.797869999999996</v>
      </c>
      <c r="E11" s="73">
        <f>'Fruits11-12'!M38</f>
        <v>252.423</v>
      </c>
    </row>
    <row r="12" spans="1:5" ht="19.5" customHeight="1" x14ac:dyDescent="0.2">
      <c r="A12" s="54" t="s">
        <v>150</v>
      </c>
      <c r="B12" s="75"/>
      <c r="C12" s="75"/>
      <c r="D12" s="73"/>
      <c r="E12" s="73"/>
    </row>
    <row r="13" spans="1:5" ht="19.5" customHeight="1" x14ac:dyDescent="0.2">
      <c r="A13" s="57" t="s">
        <v>151</v>
      </c>
      <c r="B13" s="76">
        <v>219.09799999999998</v>
      </c>
      <c r="C13" s="76">
        <v>2107.9829999999997</v>
      </c>
      <c r="D13" s="79">
        <f>'Citrus11-12'!B38</f>
        <v>233.95099999999999</v>
      </c>
      <c r="E13" s="79">
        <f>'Citrus11-12'!C38</f>
        <v>2272.1119999999996</v>
      </c>
    </row>
    <row r="14" spans="1:5" ht="19.5" customHeight="1" x14ac:dyDescent="0.2">
      <c r="A14" s="57" t="s">
        <v>179</v>
      </c>
      <c r="B14" s="76">
        <v>323.81099999999998</v>
      </c>
      <c r="C14" s="76">
        <v>3255.23</v>
      </c>
      <c r="D14" s="79">
        <f>'Citrus11-12'!D38</f>
        <v>329.072</v>
      </c>
      <c r="E14" s="79">
        <f>'Citrus11-12'!E38</f>
        <v>3128.4770000000003</v>
      </c>
    </row>
    <row r="15" spans="1:5" ht="19.5" customHeight="1" x14ac:dyDescent="0.2">
      <c r="A15" s="57" t="s">
        <v>180</v>
      </c>
      <c r="B15" s="76">
        <v>156.77000000000001</v>
      </c>
      <c r="C15" s="76">
        <v>1316.2089999999998</v>
      </c>
      <c r="D15" s="79">
        <f>'Citrus11-12'!F38</f>
        <v>161.65600000000001</v>
      </c>
      <c r="E15" s="79">
        <f>'Citrus11-12'!G38</f>
        <v>1231.855</v>
      </c>
    </row>
    <row r="16" spans="1:5" ht="19.5" customHeight="1" x14ac:dyDescent="0.2">
      <c r="A16" s="57" t="s">
        <v>152</v>
      </c>
      <c r="B16" s="76">
        <v>146.81199999999998</v>
      </c>
      <c r="C16" s="76">
        <v>784.18999999999994</v>
      </c>
      <c r="D16" s="79">
        <f>'Citrus11-12'!H38</f>
        <v>190.41281000000001</v>
      </c>
      <c r="E16" s="79">
        <f>'Citrus11-12'!I38</f>
        <v>1289.6309500000002</v>
      </c>
    </row>
    <row r="17" spans="1:5" ht="19.5" customHeight="1" x14ac:dyDescent="0.2">
      <c r="A17" s="56" t="s">
        <v>153</v>
      </c>
      <c r="B17" s="70">
        <f>SUM(B13:B16)</f>
        <v>846.49099999999999</v>
      </c>
      <c r="C17" s="70">
        <f>SUM(C13:C16)</f>
        <v>7463.6119999999992</v>
      </c>
      <c r="D17" s="70">
        <f>SUM(D13:D16)</f>
        <v>915.09181000000012</v>
      </c>
      <c r="E17" s="70">
        <f>SUM(E13:E16)</f>
        <v>7922.0749500000002</v>
      </c>
    </row>
    <row r="18" spans="1:5" ht="19.5" customHeight="1" x14ac:dyDescent="0.2">
      <c r="A18" s="56" t="s">
        <v>182</v>
      </c>
      <c r="B18" s="71">
        <v>15.457999999999998</v>
      </c>
      <c r="C18" s="71">
        <v>104.706</v>
      </c>
      <c r="D18" s="73">
        <f>'Fruits11-12'!N38</f>
        <v>18.505999999999997</v>
      </c>
      <c r="E18" s="73">
        <f>'Fruits11-12'!O38</f>
        <v>127.267</v>
      </c>
    </row>
    <row r="19" spans="1:5" ht="19.5" customHeight="1" x14ac:dyDescent="0.2">
      <c r="A19" s="56" t="s">
        <v>76</v>
      </c>
      <c r="B19" s="71">
        <v>111.44</v>
      </c>
      <c r="C19" s="71">
        <v>1234.876</v>
      </c>
      <c r="D19" s="73">
        <f>'Fruits11-12'!P38</f>
        <v>116.00304</v>
      </c>
      <c r="E19" s="73">
        <f>'Fruits11-12'!Q38</f>
        <v>2220.9399999999996</v>
      </c>
    </row>
    <row r="20" spans="1:5" ht="19.5" customHeight="1" x14ac:dyDescent="0.2">
      <c r="A20" s="56" t="s">
        <v>75</v>
      </c>
      <c r="B20" s="71">
        <v>204.84599999999998</v>
      </c>
      <c r="C20" s="71">
        <v>2462.319</v>
      </c>
      <c r="D20" s="73">
        <f>'Fruits11-12'!R38</f>
        <v>219.90348999999995</v>
      </c>
      <c r="E20" s="73">
        <f>'Fruits11-12'!S38</f>
        <v>2510.3923500000001</v>
      </c>
    </row>
    <row r="21" spans="1:5" ht="19.5" customHeight="1" x14ac:dyDescent="0.2">
      <c r="A21" s="56" t="s">
        <v>181</v>
      </c>
      <c r="B21" s="71">
        <v>35.625</v>
      </c>
      <c r="C21" s="71">
        <v>540.22699999999998</v>
      </c>
      <c r="D21" s="73">
        <f>'Fruits11-12'!T38</f>
        <v>59.832999999999998</v>
      </c>
      <c r="E21" s="73">
        <f>'Fruits11-12'!U38</f>
        <v>1041.654</v>
      </c>
    </row>
    <row r="22" spans="1:5" ht="19.5" customHeight="1" x14ac:dyDescent="0.2">
      <c r="A22" s="56" t="s">
        <v>154</v>
      </c>
      <c r="B22" s="71">
        <v>0.252</v>
      </c>
      <c r="C22" s="71">
        <v>0.91300000000000003</v>
      </c>
      <c r="D22" s="73">
        <f>'Fruits11-12'!V38</f>
        <v>3.3451300000000002</v>
      </c>
      <c r="E22" s="73">
        <f>'Fruits11-12'!W38</f>
        <v>5.6536</v>
      </c>
    </row>
    <row r="23" spans="1:5" ht="19.5" customHeight="1" x14ac:dyDescent="0.2">
      <c r="A23" s="56" t="s">
        <v>155</v>
      </c>
      <c r="B23" s="71">
        <v>77.59899999999999</v>
      </c>
      <c r="C23" s="71">
        <v>497.31100000000009</v>
      </c>
      <c r="D23" s="73">
        <f>'Fruits11-12'!X38</f>
        <v>80.394290000000012</v>
      </c>
      <c r="E23" s="73">
        <f>'Fruits11-12'!Y38</f>
        <v>538.12572999999998</v>
      </c>
    </row>
    <row r="24" spans="1:5" ht="19.5" customHeight="1" x14ac:dyDescent="0.2">
      <c r="A24" s="56" t="s">
        <v>72</v>
      </c>
      <c r="B24" s="71">
        <v>2296.7999999999997</v>
      </c>
      <c r="C24" s="71">
        <v>15188.388000000003</v>
      </c>
      <c r="D24" s="73">
        <f>'Fruits11-12'!Z38</f>
        <v>2378.1108200000003</v>
      </c>
      <c r="E24" s="73">
        <f>'Fruits11-12'!AA38</f>
        <v>16196.394479999999</v>
      </c>
    </row>
    <row r="25" spans="1:5" ht="19.5" customHeight="1" x14ac:dyDescent="0.2">
      <c r="A25" s="56" t="s">
        <v>77</v>
      </c>
      <c r="B25" s="71">
        <v>105.55800000000001</v>
      </c>
      <c r="C25" s="71">
        <v>4195.509</v>
      </c>
      <c r="D25" s="73">
        <f>'Fruits11-12'!AB38</f>
        <v>117.35299999999999</v>
      </c>
      <c r="E25" s="73">
        <f>'Fruits11-12'!AC38</f>
        <v>4457.0884999999998</v>
      </c>
    </row>
    <row r="26" spans="1:5" ht="19.5" customHeight="1" x14ac:dyDescent="0.2">
      <c r="A26" s="56" t="s">
        <v>218</v>
      </c>
      <c r="B26" s="71"/>
      <c r="C26" s="71"/>
      <c r="D26" s="73">
        <f>'Fruits11-12'!AD38</f>
        <v>15.919999999999998</v>
      </c>
      <c r="E26" s="73">
        <f>'Fruits11-12'!AE38</f>
        <v>97.396000000000001</v>
      </c>
    </row>
    <row r="27" spans="1:5" ht="19.5" customHeight="1" x14ac:dyDescent="0.2">
      <c r="A27" s="56" t="s">
        <v>156</v>
      </c>
      <c r="B27" s="71">
        <v>18.271000000000001</v>
      </c>
      <c r="C27" s="71">
        <v>92.031000000000006</v>
      </c>
      <c r="D27" s="73">
        <f>'Fruits11-12'!AH38</f>
        <v>20.26146</v>
      </c>
      <c r="E27" s="73">
        <f>'Fruits11-12'!AI38</f>
        <v>90.84</v>
      </c>
    </row>
    <row r="28" spans="1:5" ht="19.5" customHeight="1" x14ac:dyDescent="0.2">
      <c r="A28" s="56" t="s">
        <v>157</v>
      </c>
      <c r="B28" s="71">
        <v>40.712000000000003</v>
      </c>
      <c r="C28" s="71">
        <v>300.024</v>
      </c>
      <c r="D28" s="73">
        <f>'Fruits11-12'!AJ38</f>
        <v>48.021550000000005</v>
      </c>
      <c r="E28" s="73">
        <f>'Fruits11-12'!AK38</f>
        <v>294.125</v>
      </c>
    </row>
    <row r="29" spans="1:5" ht="19.5" customHeight="1" x14ac:dyDescent="0.2">
      <c r="A29" s="56" t="s">
        <v>78</v>
      </c>
      <c r="B29" s="71">
        <v>88.744</v>
      </c>
      <c r="C29" s="71">
        <v>1415.4490000000001</v>
      </c>
      <c r="D29" s="73">
        <f>'Fruits11-12'!AN38</f>
        <v>102.377</v>
      </c>
      <c r="E29" s="73">
        <f>'Fruits11-12'!AO38</f>
        <v>1500.0309999999999</v>
      </c>
    </row>
    <row r="30" spans="1:5" ht="19.5" customHeight="1" x14ac:dyDescent="0.2">
      <c r="A30" s="56" t="s">
        <v>158</v>
      </c>
      <c r="B30" s="71">
        <v>13.63</v>
      </c>
      <c r="C30" s="71">
        <v>32.261000000000003</v>
      </c>
      <c r="D30" s="73">
        <f>'Fruits11-12'!AP38</f>
        <v>25.845280000000002</v>
      </c>
      <c r="E30" s="73">
        <f>'Fruits11-12'!AQ38</f>
        <v>72.257999999999996</v>
      </c>
    </row>
    <row r="31" spans="1:5" ht="19.5" customHeight="1" x14ac:dyDescent="0.2">
      <c r="A31" s="56" t="s">
        <v>79</v>
      </c>
      <c r="B31" s="71">
        <v>107.294</v>
      </c>
      <c r="C31" s="71">
        <v>743.096</v>
      </c>
      <c r="D31" s="73">
        <f>'Fruits11-12'!AR38</f>
        <v>112.205</v>
      </c>
      <c r="E31" s="73">
        <f>'Fruits11-12'!AS38</f>
        <v>772.44950000000006</v>
      </c>
    </row>
    <row r="32" spans="1:5" ht="19.5" customHeight="1" x14ac:dyDescent="0.2">
      <c r="A32" s="56" t="s">
        <v>80</v>
      </c>
      <c r="B32" s="71">
        <v>160.02600000000001</v>
      </c>
      <c r="C32" s="71">
        <v>1424.0739999999998</v>
      </c>
      <c r="D32" s="73">
        <f>'Fruits11-12'!AT38</f>
        <v>163.35000000000002</v>
      </c>
      <c r="E32" s="73">
        <f>'Fruits11-12'!AU38</f>
        <v>1425.7959999999998</v>
      </c>
    </row>
    <row r="33" spans="1:5" ht="19.5" customHeight="1" x14ac:dyDescent="0.2">
      <c r="A33" s="56" t="s">
        <v>159</v>
      </c>
      <c r="B33" s="71">
        <v>113.89</v>
      </c>
      <c r="C33" s="71">
        <v>187.083</v>
      </c>
      <c r="D33" s="73">
        <f>'Fruits11-12'!AX38</f>
        <v>149.50280000000001</v>
      </c>
      <c r="E33" s="73">
        <f>'Fruits11-12'!AY38</f>
        <v>284.40985000000001</v>
      </c>
    </row>
    <row r="34" spans="1:5" ht="19.5" customHeight="1" x14ac:dyDescent="0.2">
      <c r="A34" s="56" t="s">
        <v>81</v>
      </c>
      <c r="B34" s="71">
        <f>912.435+1</f>
        <v>913.43499999999995</v>
      </c>
      <c r="C34" s="71">
        <f>5445.768+0.9</f>
        <v>5446.6679999999997</v>
      </c>
      <c r="D34" s="73">
        <f>'Fruits11-12'!AZ38+1</f>
        <v>888.80871000000013</v>
      </c>
      <c r="E34" s="73">
        <f>'Fruits11-12'!BA38</f>
        <v>4990.9372500000009</v>
      </c>
    </row>
    <row r="35" spans="1:5" ht="19.5" customHeight="1" x14ac:dyDescent="0.2">
      <c r="A35" s="58" t="s">
        <v>161</v>
      </c>
      <c r="B35" s="70">
        <f>B7+B8+B9+B10+B11+B17+B18+B19+B20+B21+B22+B23+B24+B25+B27+B28+B29+B30+B31+B32+B33+B34</f>
        <v>6382.3189999999995</v>
      </c>
      <c r="C35" s="70">
        <f>C7+C8+C9+C10+C11+C17+C18+C19+C20+C21+C22+C23+C24+C25+C27+C28+C29+C30+C31+C32+C33+C34</f>
        <v>74878.221999999994</v>
      </c>
      <c r="D35" s="70">
        <f>D7+D8+D9+D10+D11+D17+D18+D19+D20+D21+D22+D23+D24+D25+D26+D27+D28+D29+D30+D31+D32+D33+D34</f>
        <v>6704.5626100000018</v>
      </c>
      <c r="E35" s="70">
        <f>E7+E8+E9+E10+E11+E17+E18+E19+E20+E21+E22+E23+E24+E25+E26+E27+E28+E29+E30+E31+E32+E33+E34</f>
        <v>76423.966480000003</v>
      </c>
    </row>
    <row r="36" spans="1:5" ht="19.5" customHeight="1" x14ac:dyDescent="0.2">
      <c r="A36" s="54" t="s">
        <v>82</v>
      </c>
      <c r="B36" s="75"/>
      <c r="C36" s="75"/>
      <c r="D36" s="73"/>
      <c r="E36" s="73"/>
    </row>
    <row r="37" spans="1:5" ht="19.5" customHeight="1" x14ac:dyDescent="0.2">
      <c r="A37" s="56" t="s">
        <v>162</v>
      </c>
      <c r="B37" s="71">
        <v>100.045</v>
      </c>
      <c r="C37" s="71">
        <v>888.07</v>
      </c>
      <c r="D37" s="73">
        <f>'Veg11-12'!B38</f>
        <v>118.44000000000003</v>
      </c>
      <c r="E37" s="73">
        <f>'Veg11-12'!C38</f>
        <v>1151.4175</v>
      </c>
    </row>
    <row r="38" spans="1:5" ht="19.5" customHeight="1" x14ac:dyDescent="0.2">
      <c r="A38" s="56" t="s">
        <v>163</v>
      </c>
      <c r="B38" s="71">
        <v>68.26400000000001</v>
      </c>
      <c r="C38" s="71">
        <v>749.21</v>
      </c>
      <c r="D38" s="73">
        <f>'Veg11-12'!D38</f>
        <v>76.66500000000002</v>
      </c>
      <c r="E38" s="73">
        <f>'Veg11-12'!E38</f>
        <v>866.22840000000008</v>
      </c>
    </row>
    <row r="39" spans="1:5" ht="19.5" customHeight="1" x14ac:dyDescent="0.2">
      <c r="A39" s="56" t="s">
        <v>164</v>
      </c>
      <c r="B39" s="71">
        <v>75.335000000000008</v>
      </c>
      <c r="C39" s="71">
        <v>1353.731</v>
      </c>
      <c r="D39" s="73">
        <f>'Veg11-12'!F38</f>
        <v>105.43999999999998</v>
      </c>
      <c r="E39" s="73">
        <f>'Veg11-12'!G38</f>
        <v>1984.1368499999996</v>
      </c>
    </row>
    <row r="40" spans="1:5" ht="19.5" customHeight="1" x14ac:dyDescent="0.2">
      <c r="A40" s="56" t="s">
        <v>86</v>
      </c>
      <c r="B40" s="71">
        <v>680.01699999999994</v>
      </c>
      <c r="C40" s="71">
        <v>11895.849000000004</v>
      </c>
      <c r="D40" s="73">
        <f>'Veg11-12'!H38</f>
        <v>691.54300000000012</v>
      </c>
      <c r="E40" s="73">
        <f>'Veg11-12'!I38</f>
        <v>12634.132999999998</v>
      </c>
    </row>
    <row r="41" spans="1:5" ht="19.5" customHeight="1" x14ac:dyDescent="0.2">
      <c r="A41" s="56" t="s">
        <v>87</v>
      </c>
      <c r="B41" s="71">
        <v>368.80699999999996</v>
      </c>
      <c r="C41" s="71">
        <v>7948.9119999999994</v>
      </c>
      <c r="D41" s="73">
        <f>'Veg11-12'!J38</f>
        <v>389.62200000000001</v>
      </c>
      <c r="E41" s="73">
        <f>'Veg11-12'!K38</f>
        <v>8412.1169999999984</v>
      </c>
    </row>
    <row r="42" spans="1:5" ht="19.5" customHeight="1" x14ac:dyDescent="0.2">
      <c r="A42" s="56" t="s">
        <v>165</v>
      </c>
      <c r="B42" s="71">
        <v>5.8940000000000001</v>
      </c>
      <c r="C42" s="71">
        <v>65</v>
      </c>
      <c r="D42" s="73">
        <f>'Veg11-12'!L38</f>
        <v>9.6260000000000012</v>
      </c>
      <c r="E42" s="73">
        <f>'Veg11-12'!M38</f>
        <v>127.47749999999998</v>
      </c>
    </row>
    <row r="43" spans="1:5" ht="19.5" customHeight="1" x14ac:dyDescent="0.2">
      <c r="A43" s="56" t="s">
        <v>166</v>
      </c>
      <c r="B43" s="71">
        <v>56.481000000000002</v>
      </c>
      <c r="C43" s="71">
        <v>952.85199999999998</v>
      </c>
      <c r="D43" s="73">
        <f>'Veg11-12'!N38</f>
        <v>62.217999999999996</v>
      </c>
      <c r="E43" s="73">
        <f>'Veg11-12'!O38</f>
        <v>1153.2819999999999</v>
      </c>
    </row>
    <row r="44" spans="1:5" ht="19.5" customHeight="1" x14ac:dyDescent="0.2">
      <c r="A44" s="56" t="s">
        <v>88</v>
      </c>
      <c r="B44" s="71">
        <v>368.7170000000001</v>
      </c>
      <c r="C44" s="71">
        <v>6744.9349999999995</v>
      </c>
      <c r="D44" s="73">
        <f>'Veg11-12'!P38</f>
        <v>390.78699999999992</v>
      </c>
      <c r="E44" s="73">
        <f>'Veg11-12'!Q38</f>
        <v>7348.9370000000017</v>
      </c>
    </row>
    <row r="45" spans="1:5" ht="19.5" customHeight="1" x14ac:dyDescent="0.2">
      <c r="A45" s="56" t="s">
        <v>167</v>
      </c>
      <c r="B45" s="71">
        <v>35.064000000000007</v>
      </c>
      <c r="C45" s="71">
        <v>525.11099999999988</v>
      </c>
      <c r="D45" s="73">
        <f>'Veg11-12'!R38</f>
        <v>39.769999999999996</v>
      </c>
      <c r="E45" s="73">
        <f>'Veg11-12'!S38</f>
        <v>607.1648600000002</v>
      </c>
    </row>
    <row r="46" spans="1:5" ht="19.5" customHeight="1" x14ac:dyDescent="0.2">
      <c r="A46" s="56" t="s">
        <v>168</v>
      </c>
      <c r="B46" s="71">
        <v>39.524999999999999</v>
      </c>
      <c r="C46" s="71">
        <v>739.90599999999995</v>
      </c>
      <c r="D46" s="73">
        <f>'Veg11-12'!T38</f>
        <v>37.850999999999999</v>
      </c>
      <c r="E46" s="73">
        <f>'Veg11-12'!U38</f>
        <v>791.49599999999998</v>
      </c>
    </row>
    <row r="47" spans="1:5" ht="19.5" customHeight="1" x14ac:dyDescent="0.2">
      <c r="A47" s="56" t="s">
        <v>89</v>
      </c>
      <c r="B47" s="71">
        <v>498.26700000000005</v>
      </c>
      <c r="C47" s="71">
        <v>5784.0020000000013</v>
      </c>
      <c r="D47" s="73">
        <f>'Veg11-12'!V38</f>
        <v>518.36900000000003</v>
      </c>
      <c r="E47" s="73">
        <f>'Veg11-12'!W38</f>
        <v>6259.1900000000005</v>
      </c>
    </row>
    <row r="48" spans="1:5" ht="19.5" customHeight="1" x14ac:dyDescent="0.2">
      <c r="A48" s="56" t="s">
        <v>84</v>
      </c>
      <c r="B48" s="71">
        <v>1063.816</v>
      </c>
      <c r="C48" s="71">
        <v>15117.748000000001</v>
      </c>
      <c r="D48" s="73">
        <f>'Veg11-12'!X38</f>
        <v>1087.2339999999999</v>
      </c>
      <c r="E48" s="73">
        <f>'Veg11-12'!Y38</f>
        <v>17511.085999999999</v>
      </c>
    </row>
    <row r="49" spans="1:5" ht="19.5" customHeight="1" x14ac:dyDescent="0.2">
      <c r="A49" s="56" t="s">
        <v>90</v>
      </c>
      <c r="B49" s="71">
        <v>369.83799999999997</v>
      </c>
      <c r="C49" s="71">
        <v>3517.3999999999996</v>
      </c>
      <c r="D49" s="73">
        <f>'Veg11-12'!AB38</f>
        <v>408.24099999999999</v>
      </c>
      <c r="E49" s="73">
        <f>'Veg11-12'!AC38</f>
        <v>3744.8067999999998</v>
      </c>
    </row>
    <row r="50" spans="1:5" ht="19.5" customHeight="1" x14ac:dyDescent="0.2">
      <c r="A50" s="56" t="s">
        <v>83</v>
      </c>
      <c r="B50" s="71">
        <v>1863.202</v>
      </c>
      <c r="C50" s="71">
        <v>42339.396000000008</v>
      </c>
      <c r="D50" s="73">
        <f>'Veg11-12'!AD38</f>
        <v>1906.9660000000001</v>
      </c>
      <c r="E50" s="73">
        <f>'Veg11-12'!AE38</f>
        <v>41482.794000000002</v>
      </c>
    </row>
    <row r="51" spans="1:5" ht="19.5" customHeight="1" x14ac:dyDescent="0.2">
      <c r="A51" s="56" t="s">
        <v>169</v>
      </c>
      <c r="B51" s="71">
        <v>133.47500000000002</v>
      </c>
      <c r="C51" s="71">
        <v>1878.0879999999997</v>
      </c>
      <c r="D51" s="73">
        <f>'Veg11-12'!AF38</f>
        <v>160.28499999999997</v>
      </c>
      <c r="E51" s="73">
        <f>'Veg11-12'!AG38</f>
        <v>2285.8989999999999</v>
      </c>
    </row>
    <row r="52" spans="1:5" ht="19.5" customHeight="1" x14ac:dyDescent="0.2">
      <c r="A52" s="56" t="s">
        <v>170</v>
      </c>
      <c r="B52" s="71">
        <v>5.3449999999999998</v>
      </c>
      <c r="C52" s="71">
        <v>142.86600000000001</v>
      </c>
      <c r="D52" s="73">
        <f>'Veg11-12'!AH38</f>
        <v>11.057</v>
      </c>
      <c r="E52" s="73">
        <f>'Veg11-12'!AI38</f>
        <v>277.56450000000001</v>
      </c>
    </row>
    <row r="53" spans="1:5" ht="19.5" customHeight="1" x14ac:dyDescent="0.2">
      <c r="A53" s="56" t="s">
        <v>92</v>
      </c>
      <c r="B53" s="71">
        <v>113.164</v>
      </c>
      <c r="C53" s="71">
        <v>1046.569</v>
      </c>
      <c r="D53" s="73">
        <f>'Veg11-12'!AJ38</f>
        <v>110.387</v>
      </c>
      <c r="E53" s="73">
        <f>'Veg11-12'!AK38</f>
        <v>1072.8260000000002</v>
      </c>
    </row>
    <row r="54" spans="1:5" ht="19.5" customHeight="1" x14ac:dyDescent="0.2">
      <c r="A54" s="56" t="s">
        <v>91</v>
      </c>
      <c r="B54" s="71">
        <v>221.43400000000003</v>
      </c>
      <c r="C54" s="71">
        <v>8076.0480000000007</v>
      </c>
      <c r="D54" s="73">
        <f>'Veg11-12'!AL38</f>
        <v>226.69499999999999</v>
      </c>
      <c r="E54" s="73">
        <f>'Veg11-12'!AM38</f>
        <v>8746.5390000000007</v>
      </c>
    </row>
    <row r="55" spans="1:5" ht="19.5" customHeight="1" x14ac:dyDescent="0.2">
      <c r="A55" s="56" t="s">
        <v>85</v>
      </c>
      <c r="B55" s="71">
        <v>864.91600000000017</v>
      </c>
      <c r="C55" s="71">
        <v>16826.446999999996</v>
      </c>
      <c r="D55" s="73">
        <f>'Veg11-12'!AN38</f>
        <v>907.05100000000027</v>
      </c>
      <c r="E55" s="73">
        <f>'Veg11-12'!AO38</f>
        <v>18653.299499999997</v>
      </c>
    </row>
    <row r="56" spans="1:5" ht="19.5" customHeight="1" x14ac:dyDescent="0.2">
      <c r="A56" s="56" t="s">
        <v>171</v>
      </c>
      <c r="B56" s="71">
        <v>67.37</v>
      </c>
      <c r="C56" s="71">
        <v>1436.4540000000002</v>
      </c>
      <c r="D56" s="73">
        <f>'Veg11-12'!AP38</f>
        <v>70.585999999999999</v>
      </c>
      <c r="E56" s="73">
        <f>'Veg11-12'!AQ38</f>
        <v>1727.4525999999998</v>
      </c>
    </row>
    <row r="57" spans="1:5" ht="19.5" customHeight="1" x14ac:dyDescent="0.2">
      <c r="A57" s="56" t="s">
        <v>81</v>
      </c>
      <c r="B57" s="71">
        <v>1495.569</v>
      </c>
      <c r="C57" s="71">
        <v>18525.871000000003</v>
      </c>
      <c r="D57" s="73">
        <f>'Veg11-12'!AR38+1</f>
        <v>1660.5184999999999</v>
      </c>
      <c r="E57" s="73">
        <f>'Veg11-12'!AS38+28</f>
        <v>19487.301499999998</v>
      </c>
    </row>
    <row r="58" spans="1:5" ht="19.5" customHeight="1" x14ac:dyDescent="0.2">
      <c r="A58" s="58" t="s">
        <v>57</v>
      </c>
      <c r="B58" s="70">
        <f>B37+B38+B39+B40+B41+B42+B43+B44+B45+B46+B47+B48+B49+B50+B51+B52+B53+B54+B55+B56+B57</f>
        <v>8494.5450000000001</v>
      </c>
      <c r="C58" s="70">
        <f>C37+C38+C39+C40+C41+C42+C43+C44+C45+C46+C47+C48+C49+C50+C51+C52+C53+C54+C55+C56+C57</f>
        <v>146554.465</v>
      </c>
      <c r="D58" s="70">
        <f>D37+D38+D39+D40+D41+D42+D43+D44+D45+D46+D47+D48+D49+D50+D51+D52+D53+D54+D55+D56+D57</f>
        <v>8989.3515000000007</v>
      </c>
      <c r="E58" s="70">
        <f>E37+E38+E39+E40+E41+E42+E43+E44+E45+E46+E47+E48+E49+E50+E51+E52+E53+E54+E55+E56+E57</f>
        <v>156325.14900999999</v>
      </c>
    </row>
    <row r="59" spans="1:5" ht="19.5" customHeight="1" x14ac:dyDescent="0.2">
      <c r="A59" s="49"/>
      <c r="B59" s="49"/>
      <c r="C59" s="49"/>
      <c r="D59" s="73"/>
      <c r="E59" s="73"/>
    </row>
    <row r="60" spans="1:5" ht="19.5" customHeight="1" x14ac:dyDescent="0.2">
      <c r="A60" s="59" t="s">
        <v>93</v>
      </c>
      <c r="B60" s="70">
        <v>510.11400000000003</v>
      </c>
      <c r="C60" s="70">
        <v>605.22400000000005</v>
      </c>
      <c r="D60" s="70">
        <f>'Hort.11-12'!I42</f>
        <v>505.59999999999997</v>
      </c>
      <c r="E60" s="70">
        <f>'Hort.11-12'!J42</f>
        <v>565.70299999999997</v>
      </c>
    </row>
    <row r="61" spans="1:5" ht="19.5" customHeight="1" x14ac:dyDescent="0.2">
      <c r="A61" s="60"/>
      <c r="B61" s="77"/>
      <c r="C61" s="77"/>
      <c r="D61" s="73"/>
      <c r="E61" s="73"/>
    </row>
    <row r="62" spans="1:5" ht="19.5" customHeight="1" x14ac:dyDescent="0.2">
      <c r="A62" s="58"/>
      <c r="B62" s="70"/>
      <c r="C62" s="70"/>
      <c r="D62" s="73"/>
      <c r="E62" s="73"/>
    </row>
    <row r="63" spans="1:5" ht="19.5" customHeight="1" x14ac:dyDescent="0.2">
      <c r="A63" s="61" t="s">
        <v>95</v>
      </c>
      <c r="B63" s="71"/>
      <c r="C63" s="71">
        <v>69027.360000000001</v>
      </c>
      <c r="D63" s="73"/>
      <c r="E63" s="73">
        <f>'Flower 11-12'!AN39</f>
        <v>75065.980500000005</v>
      </c>
    </row>
    <row r="64" spans="1:5" ht="19.5" customHeight="1" x14ac:dyDescent="0.2">
      <c r="A64" s="54" t="s">
        <v>94</v>
      </c>
      <c r="B64" s="70">
        <v>190.851</v>
      </c>
      <c r="C64" s="70">
        <v>1031.3440000000001</v>
      </c>
      <c r="D64" s="70">
        <f>'Flower 11-12'!AL39</f>
        <v>253.64689999999996</v>
      </c>
      <c r="E64" s="70">
        <f>'Flower 11-12'!AM39</f>
        <v>1651.6109100000001</v>
      </c>
    </row>
    <row r="65" spans="1:5" ht="19.5" customHeight="1" x14ac:dyDescent="0.2">
      <c r="A65" s="56"/>
      <c r="B65" s="71"/>
      <c r="C65" s="71"/>
      <c r="D65" s="73"/>
      <c r="E65" s="73"/>
    </row>
    <row r="66" spans="1:5" ht="19.5" customHeight="1" x14ac:dyDescent="0.2">
      <c r="A66" s="54" t="s">
        <v>96</v>
      </c>
      <c r="B66" s="75"/>
      <c r="C66" s="75"/>
      <c r="D66" s="73"/>
      <c r="E66" s="73"/>
    </row>
    <row r="67" spans="1:5" ht="19.5" customHeight="1" x14ac:dyDescent="0.25">
      <c r="A67" s="62" t="s">
        <v>54</v>
      </c>
      <c r="B67" s="78">
        <v>400.10999999999996</v>
      </c>
      <c r="C67" s="78">
        <v>477.99</v>
      </c>
      <c r="D67" s="73">
        <f>'Plant11-12'!B38</f>
        <v>463.89400000000001</v>
      </c>
      <c r="E67" s="73">
        <f>'Plant11-12'!C38</f>
        <v>680.70700000000011</v>
      </c>
    </row>
    <row r="68" spans="1:5" ht="19.5" customHeight="1" x14ac:dyDescent="0.25">
      <c r="A68" s="62" t="s">
        <v>53</v>
      </c>
      <c r="B68" s="78">
        <v>953.2</v>
      </c>
      <c r="C68" s="78">
        <v>674.6</v>
      </c>
      <c r="D68" s="73">
        <f>'Plant11-12'!D38</f>
        <v>978.82999999999993</v>
      </c>
      <c r="E68" s="73">
        <f>'Plant11-12'!E38</f>
        <v>725.21</v>
      </c>
    </row>
    <row r="69" spans="1:5" ht="19.5" customHeight="1" x14ac:dyDescent="0.25">
      <c r="A69" s="62" t="s">
        <v>55</v>
      </c>
      <c r="B69" s="78">
        <v>56.5</v>
      </c>
      <c r="C69" s="78">
        <v>14.4</v>
      </c>
      <c r="D69" s="73">
        <f>'Plant11-12'!F38</f>
        <v>62.981999999999999</v>
      </c>
      <c r="E69" s="73">
        <f>'Plant11-12'!G38</f>
        <v>12.9</v>
      </c>
    </row>
    <row r="70" spans="1:5" ht="19.5" customHeight="1" x14ac:dyDescent="0.25">
      <c r="A70" s="62" t="s">
        <v>56</v>
      </c>
      <c r="B70" s="78">
        <v>1895.8799999999999</v>
      </c>
      <c r="C70" s="78">
        <v>10839.970000000001</v>
      </c>
      <c r="D70" s="73">
        <f>'Plant11-12'!H38</f>
        <v>2070.8220000000001</v>
      </c>
      <c r="E70" s="73">
        <f>'Plant11-12'!I38</f>
        <v>14939.865999999998</v>
      </c>
    </row>
    <row r="71" spans="1:5" ht="19.5" customHeight="1" x14ac:dyDescent="0.2">
      <c r="A71" s="63" t="s">
        <v>57</v>
      </c>
      <c r="B71" s="72">
        <f>B67+B68+B69+B70</f>
        <v>3305.6899999999996</v>
      </c>
      <c r="C71" s="72">
        <f>C67+C68+C69+C70</f>
        <v>12006.960000000001</v>
      </c>
      <c r="D71" s="72">
        <f>D67+D68+D69+D70</f>
        <v>3576.5280000000002</v>
      </c>
      <c r="E71" s="72">
        <f>E67+E68+E69+E70</f>
        <v>16358.682999999999</v>
      </c>
    </row>
    <row r="72" spans="1:5" ht="19.5" customHeight="1" x14ac:dyDescent="0.2">
      <c r="A72" s="63"/>
      <c r="B72" s="72"/>
      <c r="C72" s="72"/>
      <c r="D72" s="73"/>
      <c r="E72" s="73"/>
    </row>
    <row r="73" spans="1:5" ht="19.5" customHeight="1" x14ac:dyDescent="0.2">
      <c r="A73" s="59" t="s">
        <v>97</v>
      </c>
      <c r="B73" s="75"/>
      <c r="C73" s="75"/>
      <c r="D73" s="73"/>
      <c r="E73" s="73"/>
    </row>
    <row r="74" spans="1:5" ht="19.5" customHeight="1" x14ac:dyDescent="0.2">
      <c r="A74" s="64" t="s">
        <v>144</v>
      </c>
      <c r="B74" s="71">
        <v>25.85</v>
      </c>
      <c r="C74" s="71">
        <v>22.18</v>
      </c>
      <c r="D74" s="73">
        <f>'Spices 11-12'!V34</f>
        <v>35.375999999999998</v>
      </c>
      <c r="E74" s="73">
        <f>'Spices 11-12'!W34</f>
        <v>26.777999999999999</v>
      </c>
    </row>
    <row r="75" spans="1:5" ht="19.5" customHeight="1" x14ac:dyDescent="0.2">
      <c r="A75" s="64" t="s">
        <v>140</v>
      </c>
      <c r="B75" s="71">
        <v>86.7</v>
      </c>
      <c r="C75" s="71">
        <v>15.71</v>
      </c>
      <c r="D75" s="73">
        <f>'Spices 11-12'!L34</f>
        <v>89.005999999999986</v>
      </c>
      <c r="E75" s="73">
        <f>'Spices 11-12'!M34</f>
        <v>15.815999999999999</v>
      </c>
    </row>
    <row r="76" spans="1:5" ht="19.5" customHeight="1" x14ac:dyDescent="0.2">
      <c r="A76" s="64" t="s">
        <v>172</v>
      </c>
      <c r="B76" s="71">
        <v>792.11</v>
      </c>
      <c r="C76" s="71">
        <v>1223.4000000000001</v>
      </c>
      <c r="D76" s="73">
        <f>'Spices 11-12'!F34</f>
        <v>804.79200000000003</v>
      </c>
      <c r="E76" s="73">
        <f>'Spices 11-12'!G34</f>
        <v>1276.3008000000002</v>
      </c>
    </row>
    <row r="77" spans="1:5" ht="19.5" customHeight="1" x14ac:dyDescent="0.2">
      <c r="A77" s="64" t="s">
        <v>173</v>
      </c>
      <c r="B77" s="71">
        <v>2.95</v>
      </c>
      <c r="C77" s="71">
        <v>5.0199999999999996</v>
      </c>
      <c r="D77" s="73">
        <f>'Spices 11-12'!Z34</f>
        <v>2.944</v>
      </c>
      <c r="E77" s="73">
        <f>'Spices 11-12'!AA34</f>
        <v>5.0350000000000001</v>
      </c>
    </row>
    <row r="78" spans="1:5" ht="19.5" customHeight="1" x14ac:dyDescent="0.2">
      <c r="A78" s="64" t="s">
        <v>183</v>
      </c>
      <c r="B78" s="71">
        <v>37.61</v>
      </c>
      <c r="C78" s="71">
        <v>39.549999999999997</v>
      </c>
      <c r="D78" s="73">
        <f>'Spices 11-12'!X34</f>
        <v>33.47</v>
      </c>
      <c r="E78" s="73">
        <f>'Spices 11-12'!Y34</f>
        <v>32.642000000000003</v>
      </c>
    </row>
    <row r="79" spans="1:5" ht="19.5" customHeight="1" x14ac:dyDescent="0.2">
      <c r="A79" s="64" t="s">
        <v>146</v>
      </c>
      <c r="B79" s="71">
        <v>2.4300000000000002</v>
      </c>
      <c r="C79" s="71">
        <v>1.17</v>
      </c>
      <c r="D79" s="73">
        <f>'Spices 11-12'!AD34</f>
        <v>2.387</v>
      </c>
      <c r="E79" s="73">
        <f>'Spices 11-12'!AE34</f>
        <v>1.1051</v>
      </c>
    </row>
    <row r="80" spans="1:5" ht="19.5" customHeight="1" x14ac:dyDescent="0.2">
      <c r="A80" s="64" t="s">
        <v>141</v>
      </c>
      <c r="B80" s="71">
        <v>530.48</v>
      </c>
      <c r="C80" s="71">
        <v>482</v>
      </c>
      <c r="D80" s="73">
        <f>'Spices 11-12'!N34</f>
        <v>557.86999999999989</v>
      </c>
      <c r="E80" s="73">
        <f>'Spices 11-12'!O34</f>
        <v>532.94699999999989</v>
      </c>
    </row>
    <row r="81" spans="1:5" ht="19.5" customHeight="1" x14ac:dyDescent="0.2">
      <c r="A81" s="64" t="s">
        <v>142</v>
      </c>
      <c r="B81" s="71">
        <v>507.85</v>
      </c>
      <c r="C81" s="71">
        <v>314.22000000000003</v>
      </c>
      <c r="D81" s="73">
        <f>'Spices 11-12'!P34</f>
        <v>593.9799999999999</v>
      </c>
      <c r="E81" s="73">
        <f>'Spices 11-12'!Q34</f>
        <v>394.32800000000003</v>
      </c>
    </row>
    <row r="82" spans="1:5" ht="19.5" customHeight="1" x14ac:dyDescent="0.2">
      <c r="A82" s="64" t="s">
        <v>174</v>
      </c>
      <c r="B82" s="71">
        <v>81.239999999999995</v>
      </c>
      <c r="C82" s="71">
        <v>118.36</v>
      </c>
      <c r="D82" s="73">
        <f>'Spices 11-12'!T34</f>
        <v>93.605000000000004</v>
      </c>
      <c r="E82" s="73">
        <f>'Spices 11-12'!U34</f>
        <v>115.929</v>
      </c>
    </row>
    <row r="83" spans="1:5" ht="19.5" customHeight="1" x14ac:dyDescent="0.2">
      <c r="A83" s="64" t="s">
        <v>143</v>
      </c>
      <c r="B83" s="71">
        <v>61.75</v>
      </c>
      <c r="C83" s="71">
        <v>105.36</v>
      </c>
      <c r="D83" s="73">
        <f>'Spices 11-12'!R34</f>
        <v>99.554000000000002</v>
      </c>
      <c r="E83" s="73">
        <f>'Spices 11-12'!S34</f>
        <v>142.94899999999998</v>
      </c>
    </row>
    <row r="84" spans="1:5" ht="19.5" customHeight="1" x14ac:dyDescent="0.2">
      <c r="A84" s="64" t="s">
        <v>139</v>
      </c>
      <c r="B84" s="71">
        <v>200.63</v>
      </c>
      <c r="C84" s="71">
        <v>1057.76</v>
      </c>
      <c r="D84" s="73">
        <f>'Spices 11-12'!J34</f>
        <v>242.49099999999999</v>
      </c>
      <c r="E84" s="73">
        <f>'Spices 11-12'!K34</f>
        <v>1228.3237000000001</v>
      </c>
    </row>
    <row r="85" spans="1:5" ht="19.5" customHeight="1" x14ac:dyDescent="0.2">
      <c r="A85" s="64" t="s">
        <v>137</v>
      </c>
      <c r="B85" s="71">
        <v>149.12</v>
      </c>
      <c r="C85" s="71">
        <v>701.99</v>
      </c>
      <c r="D85" s="73">
        <f>'Spices 11-12'!D34</f>
        <v>155.06299999999999</v>
      </c>
      <c r="E85" s="73">
        <f>'Spices 11-12'!E34</f>
        <v>755.6178000000001</v>
      </c>
    </row>
    <row r="86" spans="1:5" ht="19.5" customHeight="1" x14ac:dyDescent="0.2">
      <c r="A86" s="64" t="s">
        <v>145</v>
      </c>
      <c r="B86" s="71">
        <v>16.13</v>
      </c>
      <c r="C86" s="71">
        <v>11.43</v>
      </c>
      <c r="D86" s="73">
        <f>'Spices 11-12'!AB34</f>
        <v>17.484999999999996</v>
      </c>
      <c r="E86" s="73">
        <f>'Spices 11-12'!AC34</f>
        <v>12.573510000000001</v>
      </c>
    </row>
    <row r="87" spans="1:5" ht="19.5" customHeight="1" x14ac:dyDescent="0.2">
      <c r="A87" s="64" t="s">
        <v>136</v>
      </c>
      <c r="B87" s="71">
        <v>183.78</v>
      </c>
      <c r="C87" s="71">
        <v>51.98</v>
      </c>
      <c r="D87" s="73">
        <f>'Spices 11-12'!B34</f>
        <v>200.27900000000002</v>
      </c>
      <c r="E87" s="73">
        <f>'Spices 11-12'!C34</f>
        <v>40.621680000000005</v>
      </c>
    </row>
    <row r="88" spans="1:5" ht="19.5" customHeight="1" x14ac:dyDescent="0.2">
      <c r="A88" s="64" t="s">
        <v>175</v>
      </c>
      <c r="B88" s="71">
        <v>7.1</v>
      </c>
      <c r="C88" s="71">
        <v>1.07</v>
      </c>
      <c r="D88" s="73">
        <f>'Spices 11-12'!AH34</f>
        <v>7.0950000000000006</v>
      </c>
      <c r="E88" s="73">
        <f>'Spices 11-12'!AI34</f>
        <v>1.0742099999999999</v>
      </c>
    </row>
    <row r="89" spans="1:5" ht="19.5" customHeight="1" x14ac:dyDescent="0.2">
      <c r="A89" s="64" t="s">
        <v>147</v>
      </c>
      <c r="B89" s="71">
        <v>59.59</v>
      </c>
      <c r="C89" s="71">
        <v>206.34</v>
      </c>
      <c r="D89" s="73">
        <f>'Spices 11-12'!AF34</f>
        <v>58.427999999999997</v>
      </c>
      <c r="E89" s="73">
        <f>'Spices 11-12'!AG34</f>
        <v>202.57400000000001</v>
      </c>
    </row>
    <row r="90" spans="1:5" ht="19.5" customHeight="1" x14ac:dyDescent="0.2">
      <c r="A90" s="64" t="s">
        <v>138</v>
      </c>
      <c r="B90" s="71">
        <v>195.07</v>
      </c>
      <c r="C90" s="71">
        <v>992.94</v>
      </c>
      <c r="D90" s="73">
        <f>'Spices 11-12'!H34</f>
        <v>218.64599999999999</v>
      </c>
      <c r="E90" s="73">
        <f>'Spices 11-12'!I34</f>
        <v>1166.8431999999996</v>
      </c>
    </row>
    <row r="91" spans="1:5" ht="19.5" customHeight="1" x14ac:dyDescent="0.2">
      <c r="A91" s="65" t="s">
        <v>176</v>
      </c>
      <c r="B91" s="70">
        <f>SUM(B74:B90)</f>
        <v>2940.3900000000003</v>
      </c>
      <c r="C91" s="70">
        <f>SUM(C74:C90)</f>
        <v>5350.48</v>
      </c>
      <c r="D91" s="70">
        <f>SUM(D74:D90)</f>
        <v>3212.471</v>
      </c>
      <c r="E91" s="70">
        <f>SUM(E74:E90)</f>
        <v>5951.4579999999996</v>
      </c>
    </row>
    <row r="92" spans="1:5" ht="19.5" customHeight="1" x14ac:dyDescent="0.2">
      <c r="A92" s="65" t="s">
        <v>57</v>
      </c>
      <c r="B92" s="70">
        <f>B35+B58+B60+B64+B71+B91</f>
        <v>21823.909</v>
      </c>
      <c r="C92" s="70">
        <f>C35+C58+C60+C64+C71+C91</f>
        <v>240426.69499999998</v>
      </c>
      <c r="D92" s="70">
        <f>D35+D58+D60+D64+D71+D91</f>
        <v>23242.160010000003</v>
      </c>
      <c r="E92" s="70">
        <f>E35+E58+E60+E64+E71+E91</f>
        <v>257276.5704</v>
      </c>
    </row>
    <row r="93" spans="1:5" ht="19.5" customHeight="1" x14ac:dyDescent="0.25">
      <c r="A93" s="82" t="s">
        <v>205</v>
      </c>
      <c r="B93" s="82"/>
      <c r="C93" s="82"/>
    </row>
    <row r="94" spans="1:5" ht="19.5" customHeight="1" x14ac:dyDescent="0.2">
      <c r="A94" s="84" t="s">
        <v>184</v>
      </c>
      <c r="B94" s="85"/>
      <c r="C94" s="85"/>
      <c r="D94" s="86"/>
    </row>
    <row r="95" spans="1:5" ht="19.5" customHeight="1" x14ac:dyDescent="0.2">
      <c r="A95" s="84"/>
      <c r="B95" s="85"/>
      <c r="C95" s="85"/>
    </row>
    <row r="96" spans="1:5" ht="19.5" customHeight="1" x14ac:dyDescent="0.2">
      <c r="A96" s="83"/>
      <c r="B96" s="83"/>
      <c r="C96" s="83"/>
    </row>
  </sheetData>
  <mergeCells count="7">
    <mergeCell ref="D4:E4"/>
    <mergeCell ref="A1:E1"/>
    <mergeCell ref="D5:E5"/>
    <mergeCell ref="B4:C4"/>
    <mergeCell ref="A2:E2"/>
    <mergeCell ref="A3:E3"/>
    <mergeCell ref="B5:C5"/>
  </mergeCells>
  <phoneticPr fontId="24" type="noConversion"/>
  <pageMargins left="0.52" right="0.27" top="0.52" bottom="0.37" header="0.25" footer="0.2"/>
  <pageSetup scale="60" orientation="portrait" verticalDpi="0" r:id="rId1"/>
  <headerFooter alignWithMargins="0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Normal="100" workbookViewId="0">
      <pane xSplit="1" ySplit="6" topLeftCell="B28" activePane="bottomRight" state="frozen"/>
      <selection pane="topRight" activeCell="B1" sqref="B1"/>
      <selection pane="bottomLeft" activeCell="A4" sqref="A4"/>
      <selection pane="bottomRight" activeCell="A46" sqref="A46"/>
    </sheetView>
  </sheetViews>
  <sheetFormatPr defaultRowHeight="14.25" customHeight="1" x14ac:dyDescent="0.2"/>
  <cols>
    <col min="1" max="1" width="20.42578125" style="27" customWidth="1"/>
    <col min="2" max="16" width="10" style="27" customWidth="1"/>
    <col min="17" max="16384" width="9.140625" style="27"/>
  </cols>
  <sheetData>
    <row r="1" spans="1:16" ht="25.5" customHeight="1" x14ac:dyDescent="0.25">
      <c r="A1" s="108" t="s">
        <v>225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14.25" customHeight="1" x14ac:dyDescent="0.2">
      <c r="A2" s="109" t="s">
        <v>223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4.25" customHeight="1" x14ac:dyDescent="0.2">
      <c r="A3" s="110" t="s">
        <v>224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s="18" customFormat="1" ht="14.25" customHeight="1" x14ac:dyDescent="0.2">
      <c r="A4" s="3" t="s">
        <v>52</v>
      </c>
      <c r="B4" s="104" t="s">
        <v>62</v>
      </c>
      <c r="C4" s="106"/>
      <c r="D4" s="105" t="s">
        <v>63</v>
      </c>
      <c r="E4" s="105"/>
      <c r="F4" s="105" t="s">
        <v>64</v>
      </c>
      <c r="G4" s="105"/>
      <c r="H4" s="105"/>
      <c r="I4" s="105" t="s">
        <v>65</v>
      </c>
      <c r="J4" s="105"/>
      <c r="K4" s="105" t="s">
        <v>66</v>
      </c>
      <c r="L4" s="105"/>
      <c r="M4" s="106" t="s">
        <v>177</v>
      </c>
      <c r="N4" s="106"/>
      <c r="O4" s="107" t="s">
        <v>9</v>
      </c>
      <c r="P4" s="105"/>
    </row>
    <row r="5" spans="1:16" s="18" customFormat="1" ht="14.25" customHeight="1" x14ac:dyDescent="0.2">
      <c r="A5" s="2"/>
      <c r="B5" s="1" t="s">
        <v>51</v>
      </c>
      <c r="C5" s="2" t="s">
        <v>10</v>
      </c>
      <c r="D5" s="2" t="s">
        <v>51</v>
      </c>
      <c r="E5" s="2" t="s">
        <v>10</v>
      </c>
      <c r="F5" s="2" t="s">
        <v>51</v>
      </c>
      <c r="G5" s="103" t="s">
        <v>10</v>
      </c>
      <c r="H5" s="104"/>
      <c r="I5" s="2" t="s">
        <v>51</v>
      </c>
      <c r="J5" s="2" t="s">
        <v>10</v>
      </c>
      <c r="K5" s="2" t="s">
        <v>51</v>
      </c>
      <c r="L5" s="2" t="s">
        <v>10</v>
      </c>
      <c r="M5" s="2" t="s">
        <v>51</v>
      </c>
      <c r="N5" s="2" t="s">
        <v>10</v>
      </c>
      <c r="O5" s="2" t="s">
        <v>51</v>
      </c>
      <c r="P5" s="2" t="s">
        <v>10</v>
      </c>
    </row>
    <row r="6" spans="1:16" s="18" customFormat="1" ht="14.25" customHeight="1" x14ac:dyDescent="0.2">
      <c r="A6" s="2" t="s">
        <v>41</v>
      </c>
      <c r="B6" s="9"/>
      <c r="C6" s="10"/>
      <c r="D6" s="10"/>
      <c r="E6" s="10"/>
      <c r="F6" s="10"/>
      <c r="G6" s="11" t="s">
        <v>67</v>
      </c>
      <c r="H6" s="11" t="s">
        <v>68</v>
      </c>
      <c r="I6" s="10"/>
      <c r="J6" s="10"/>
      <c r="K6" s="10"/>
      <c r="L6" s="10"/>
      <c r="M6" s="10" t="s">
        <v>41</v>
      </c>
      <c r="N6" s="10"/>
      <c r="O6" s="12"/>
      <c r="P6" s="13"/>
    </row>
    <row r="7" spans="1:16" s="18" customFormat="1" ht="14.25" customHeight="1" x14ac:dyDescent="0.2">
      <c r="A7" s="4" t="s">
        <v>58</v>
      </c>
      <c r="B7" s="33">
        <f>'Fruits11-12'!BB3</f>
        <v>3.2359999999999998</v>
      </c>
      <c r="C7" s="33">
        <f>'Fruits11-12'!BC3</f>
        <v>30.495000000000001</v>
      </c>
      <c r="D7" s="33">
        <f>'Veg11-12'!AT3</f>
        <v>6.3100000000000005</v>
      </c>
      <c r="E7" s="33">
        <f>'Veg11-12'!AU3</f>
        <v>43.211999999999996</v>
      </c>
      <c r="F7" s="33">
        <f>'Flower 11-12'!AL4</f>
        <v>3.4999999999999996E-2</v>
      </c>
      <c r="G7" s="33">
        <f>'Flower 11-12'!AM4</f>
        <v>0.34131</v>
      </c>
      <c r="H7" s="33">
        <f>'Flower 11-12'!AN4</f>
        <v>0</v>
      </c>
      <c r="I7" s="33"/>
      <c r="J7" s="33"/>
      <c r="K7" s="33">
        <f>'Spices 11-12'!AJ3</f>
        <v>1.6509999999999998</v>
      </c>
      <c r="L7" s="33">
        <f>'Spices 11-12'!AK3</f>
        <v>2.9843199999999999</v>
      </c>
      <c r="M7" s="33">
        <f>'Plant11-12'!J3</f>
        <v>27.22</v>
      </c>
      <c r="N7" s="33">
        <f>'Plant11-12'!K3</f>
        <v>78.55</v>
      </c>
      <c r="O7" s="34">
        <f>B7+D7+F7+I7+K7+M7</f>
        <v>38.451999999999998</v>
      </c>
      <c r="P7" s="34">
        <f>C7+E7+G7+J7+L7+N7</f>
        <v>155.58262999999999</v>
      </c>
    </row>
    <row r="8" spans="1:16" s="18" customFormat="1" ht="14.25" customHeight="1" x14ac:dyDescent="0.2">
      <c r="A8" s="4" t="s">
        <v>12</v>
      </c>
      <c r="B8" s="33">
        <f>'Fruits11-12'!BB4</f>
        <v>671.68500000000006</v>
      </c>
      <c r="C8" s="33">
        <f>'Fruits11-12'!BC4</f>
        <v>9841.0709999999981</v>
      </c>
      <c r="D8" s="33">
        <f>'Veg11-12'!AT4</f>
        <v>660.96900000000005</v>
      </c>
      <c r="E8" s="33">
        <f>'Veg11-12'!AU4</f>
        <v>12025.275000000001</v>
      </c>
      <c r="F8" s="33">
        <f>'Flower 11-12'!AL5</f>
        <v>64.152999999999992</v>
      </c>
      <c r="G8" s="33">
        <f>'Flower 11-12'!AM5</f>
        <v>389.00799999999998</v>
      </c>
      <c r="H8" s="33">
        <f>'Flower 11-12'!AN5</f>
        <v>7099.3899999999994</v>
      </c>
      <c r="I8" s="33">
        <v>0.25600000000000001</v>
      </c>
      <c r="J8" s="33">
        <v>3.8370000000000002</v>
      </c>
      <c r="K8" s="33">
        <f>'Spices 11-12'!AJ4</f>
        <v>292.81900000000002</v>
      </c>
      <c r="L8" s="33">
        <f>'Spices 11-12'!AK4</f>
        <v>1129.3139999999999</v>
      </c>
      <c r="M8" s="33">
        <f>'Plant11-12'!J4</f>
        <v>350.00400000000002</v>
      </c>
      <c r="N8" s="33">
        <f>'Plant11-12'!K4</f>
        <v>1396.11</v>
      </c>
      <c r="O8" s="34">
        <f t="shared" ref="O8:O40" si="0">B8+D8+F8+I8+K8+M8</f>
        <v>2039.886</v>
      </c>
      <c r="P8" s="34">
        <f t="shared" ref="P8:P40" si="1">C8+E8+G8+J8+L8+N8</f>
        <v>24784.614999999998</v>
      </c>
    </row>
    <row r="9" spans="1:16" s="18" customFormat="1" ht="14.25" customHeight="1" x14ac:dyDescent="0.2">
      <c r="A9" s="4" t="s">
        <v>13</v>
      </c>
      <c r="B9" s="33">
        <f>'Fruits11-12'!BB5</f>
        <v>85.11</v>
      </c>
      <c r="C9" s="33">
        <f>'Fruits11-12'!BC5</f>
        <v>308.85899999999998</v>
      </c>
      <c r="D9" s="33">
        <f>'Veg11-12'!AT5</f>
        <v>6.34</v>
      </c>
      <c r="E9" s="33">
        <f>'Veg11-12'!AU5</f>
        <v>83.5</v>
      </c>
      <c r="F9" s="33">
        <f>'Flower 11-12'!AL6</f>
        <v>1.22</v>
      </c>
      <c r="G9" s="33">
        <f>'Flower 11-12'!AM6</f>
        <v>0</v>
      </c>
      <c r="H9" s="33">
        <f>'Flower 11-12'!AN6</f>
        <v>2860</v>
      </c>
      <c r="I9" s="33">
        <v>5.1479999999999997</v>
      </c>
      <c r="J9" s="33">
        <v>109.178</v>
      </c>
      <c r="K9" s="33">
        <f>'Spices 11-12'!AJ5</f>
        <v>10.050000000000001</v>
      </c>
      <c r="L9" s="33">
        <f>'Spices 11-12'!AK5</f>
        <v>61.6</v>
      </c>
      <c r="M9" s="33">
        <f>'Plant11-12'!J5</f>
        <v>0</v>
      </c>
      <c r="N9" s="33">
        <f>'Plant11-12'!K5</f>
        <v>0</v>
      </c>
      <c r="O9" s="34">
        <f t="shared" si="0"/>
        <v>107.86799999999999</v>
      </c>
      <c r="P9" s="34">
        <f t="shared" si="1"/>
        <v>563.13699999999994</v>
      </c>
    </row>
    <row r="10" spans="1:16" s="18" customFormat="1" ht="14.25" customHeight="1" x14ac:dyDescent="0.2">
      <c r="A10" s="4" t="s">
        <v>14</v>
      </c>
      <c r="B10" s="33">
        <f>'Fruits11-12'!BB6</f>
        <v>142.76</v>
      </c>
      <c r="C10" s="33">
        <f>'Fruits11-12'!BC6</f>
        <v>1851.7720000000004</v>
      </c>
      <c r="D10" s="33">
        <f>'Veg11-12'!AT6</f>
        <v>265.995</v>
      </c>
      <c r="E10" s="33">
        <f>'Veg11-12'!AU6</f>
        <v>3045.5599999999995</v>
      </c>
      <c r="F10" s="33">
        <f>'Flower 11-12'!AL7</f>
        <v>0</v>
      </c>
      <c r="G10" s="33">
        <f>'Flower 11-12'!AM7</f>
        <v>0</v>
      </c>
      <c r="H10" s="33">
        <f>'Flower 11-12'!AN7</f>
        <v>0</v>
      </c>
      <c r="I10" s="33"/>
      <c r="J10" s="33"/>
      <c r="K10" s="33">
        <f>'Spices 11-12'!AJ6</f>
        <v>93.044999999999987</v>
      </c>
      <c r="L10" s="33">
        <f>'Spices 11-12'!AK6</f>
        <v>261.55736999999999</v>
      </c>
      <c r="M10" s="33">
        <f>'Plant11-12'!J6</f>
        <v>94.52</v>
      </c>
      <c r="N10" s="33">
        <f>'Plant11-12'!K6</f>
        <v>268.15999999999997</v>
      </c>
      <c r="O10" s="34">
        <f t="shared" si="0"/>
        <v>596.31999999999994</v>
      </c>
      <c r="P10" s="34">
        <f t="shared" si="1"/>
        <v>5427.0493700000006</v>
      </c>
    </row>
    <row r="11" spans="1:16" s="18" customFormat="1" ht="14.25" customHeight="1" x14ac:dyDescent="0.2">
      <c r="A11" s="4" t="s">
        <v>15</v>
      </c>
      <c r="B11" s="33">
        <f>'Fruits11-12'!BB7</f>
        <v>299.23800000000006</v>
      </c>
      <c r="C11" s="33">
        <f>'Fruits11-12'!BC7</f>
        <v>3946.3870000000006</v>
      </c>
      <c r="D11" s="33">
        <f>'Veg11-12'!AT7</f>
        <v>857.01199999999994</v>
      </c>
      <c r="E11" s="33">
        <f>'Veg11-12'!AU7</f>
        <v>15552.384000000002</v>
      </c>
      <c r="F11" s="33">
        <f>'Flower 11-12'!AL8</f>
        <v>0.90100000000000002</v>
      </c>
      <c r="G11" s="33">
        <f>'Flower 11-12'!AM8</f>
        <v>8.7200000000000006</v>
      </c>
      <c r="H11" s="33">
        <f>'Flower 11-12'!AN8</f>
        <v>1285</v>
      </c>
      <c r="I11" s="33">
        <v>3.5550000000000002</v>
      </c>
      <c r="J11" s="33">
        <v>0.44700000000000001</v>
      </c>
      <c r="K11" s="33">
        <f>'Spices 11-12'!AJ7</f>
        <v>13.010000000000002</v>
      </c>
      <c r="L11" s="33">
        <f>'Spices 11-12'!AK7</f>
        <v>12.54</v>
      </c>
      <c r="M11" s="33">
        <f>'Plant11-12'!J7</f>
        <v>15.24</v>
      </c>
      <c r="N11" s="33">
        <f>'Plant11-12'!K7</f>
        <v>97.536000000000001</v>
      </c>
      <c r="O11" s="34">
        <f t="shared" si="0"/>
        <v>1188.9560000000001</v>
      </c>
      <c r="P11" s="34">
        <f t="shared" si="1"/>
        <v>19618.014000000003</v>
      </c>
    </row>
    <row r="12" spans="1:16" s="18" customFormat="1" ht="14.25" customHeight="1" x14ac:dyDescent="0.2">
      <c r="A12" s="4" t="s">
        <v>59</v>
      </c>
      <c r="B12" s="33">
        <f>'Fruits11-12'!BB8</f>
        <v>185.19000000000003</v>
      </c>
      <c r="C12" s="33">
        <f>'Fruits11-12'!BC8</f>
        <v>1569.18</v>
      </c>
      <c r="D12" s="33">
        <f>'Veg11-12'!AT8</f>
        <v>351.55</v>
      </c>
      <c r="E12" s="33">
        <f>'Veg11-12'!AU8</f>
        <v>4582.63</v>
      </c>
      <c r="F12" s="33">
        <f>'Flower 11-12'!AL9</f>
        <v>8.41</v>
      </c>
      <c r="G12" s="33">
        <f>'Flower 11-12'!AM9</f>
        <v>32.85</v>
      </c>
      <c r="H12" s="33">
        <f>'Flower 11-12'!AN9</f>
        <v>0</v>
      </c>
      <c r="I12" s="33">
        <v>12.12</v>
      </c>
      <c r="J12" s="33">
        <v>91.41</v>
      </c>
      <c r="K12" s="33">
        <f>'Spices 11-12'!AJ8</f>
        <v>11.670999999999999</v>
      </c>
      <c r="L12" s="33">
        <f>'Spices 11-12'!AK8</f>
        <v>8.3170000000000002</v>
      </c>
      <c r="M12" s="33">
        <f>'Plant11-12'!J8</f>
        <v>14.29</v>
      </c>
      <c r="N12" s="33">
        <f>'Plant11-12'!K8</f>
        <v>21.32</v>
      </c>
      <c r="O12" s="34">
        <f t="shared" si="0"/>
        <v>583.23099999999999</v>
      </c>
      <c r="P12" s="34">
        <f t="shared" si="1"/>
        <v>6305.7070000000003</v>
      </c>
    </row>
    <row r="13" spans="1:16" s="18" customFormat="1" ht="14.25" customHeight="1" x14ac:dyDescent="0.2">
      <c r="A13" s="5" t="s">
        <v>17</v>
      </c>
      <c r="B13" s="33">
        <f>'Fruits11-12'!BB9</f>
        <v>0</v>
      </c>
      <c r="C13" s="33">
        <f>'Fruits11-12'!BC9</f>
        <v>0</v>
      </c>
      <c r="D13" s="33">
        <f>'Veg11-12'!AT9</f>
        <v>1.1000000000000001</v>
      </c>
      <c r="E13" s="33">
        <f>'Veg11-12'!AU9</f>
        <v>5.5</v>
      </c>
      <c r="F13" s="33">
        <f>'Flower 11-12'!AL10</f>
        <v>0</v>
      </c>
      <c r="G13" s="33">
        <f>'Flower 11-12'!AM10</f>
        <v>0</v>
      </c>
      <c r="H13" s="33">
        <f>'Flower 11-12'!AN10</f>
        <v>0</v>
      </c>
      <c r="I13" s="33"/>
      <c r="J13" s="33"/>
      <c r="K13" s="33"/>
      <c r="L13" s="33"/>
      <c r="M13" s="33">
        <f>'Plant11-12'!J9</f>
        <v>0</v>
      </c>
      <c r="N13" s="33">
        <f>'Plant11-12'!K9</f>
        <v>0</v>
      </c>
      <c r="O13" s="34">
        <f t="shared" si="0"/>
        <v>1.1000000000000001</v>
      </c>
      <c r="P13" s="34">
        <f t="shared" si="1"/>
        <v>5.5</v>
      </c>
    </row>
    <row r="14" spans="1:16" s="18" customFormat="1" ht="14.25" customHeight="1" x14ac:dyDescent="0.2">
      <c r="A14" s="5" t="s">
        <v>18</v>
      </c>
      <c r="B14" s="33">
        <f>'Fruits11-12'!BB10</f>
        <v>0</v>
      </c>
      <c r="C14" s="33">
        <f>'Fruits11-12'!BC10</f>
        <v>0</v>
      </c>
      <c r="D14" s="33">
        <f>'Veg11-12'!AT10</f>
        <v>0</v>
      </c>
      <c r="E14" s="33">
        <f>'Veg11-12'!AU10</f>
        <v>0</v>
      </c>
      <c r="F14" s="33">
        <f>'Flower 11-12'!AL11</f>
        <v>0</v>
      </c>
      <c r="G14" s="33">
        <f>'Flower 11-12'!AM11</f>
        <v>0</v>
      </c>
      <c r="H14" s="33">
        <f>'Flower 11-12'!AN11</f>
        <v>0</v>
      </c>
      <c r="I14" s="33"/>
      <c r="J14" s="33"/>
      <c r="K14" s="33"/>
      <c r="L14" s="33"/>
      <c r="M14" s="33">
        <f>'Plant11-12'!J10</f>
        <v>0</v>
      </c>
      <c r="N14" s="33">
        <f>'Plant11-12'!K10</f>
        <v>0</v>
      </c>
      <c r="O14" s="34">
        <f t="shared" si="0"/>
        <v>0</v>
      </c>
      <c r="P14" s="34">
        <f t="shared" si="1"/>
        <v>0</v>
      </c>
    </row>
    <row r="15" spans="1:16" s="18" customFormat="1" ht="14.25" customHeight="1" x14ac:dyDescent="0.2">
      <c r="A15" s="4" t="s">
        <v>19</v>
      </c>
      <c r="B15" s="33">
        <f>'Fruits11-12'!BB11</f>
        <v>5.4999999999999993E-2</v>
      </c>
      <c r="C15" s="33">
        <f>'Fruits11-12'!BC11</f>
        <v>0.98699999999999988</v>
      </c>
      <c r="D15" s="33">
        <f>'Veg11-12'!AT11</f>
        <v>27.891999999999996</v>
      </c>
      <c r="E15" s="33">
        <f>'Veg11-12'!AU11</f>
        <v>466.67700000000002</v>
      </c>
      <c r="F15" s="33">
        <f>'Flower 11-12'!AL12</f>
        <v>5.5</v>
      </c>
      <c r="G15" s="33">
        <f>'Flower 11-12'!AM12</f>
        <v>5.7</v>
      </c>
      <c r="H15" s="33">
        <f>'Flower 11-12'!AN12</f>
        <v>1038</v>
      </c>
      <c r="I15" s="33"/>
      <c r="J15" s="33"/>
      <c r="K15" s="33"/>
      <c r="L15" s="33"/>
      <c r="M15" s="33">
        <f>'Plant11-12'!J11</f>
        <v>0</v>
      </c>
      <c r="N15" s="33">
        <f>'Plant11-12'!K11</f>
        <v>0</v>
      </c>
      <c r="O15" s="34">
        <f t="shared" si="0"/>
        <v>33.446999999999996</v>
      </c>
      <c r="P15" s="34">
        <f t="shared" si="1"/>
        <v>473.36400000000003</v>
      </c>
    </row>
    <row r="16" spans="1:16" s="18" customFormat="1" ht="14.25" customHeight="1" x14ac:dyDescent="0.2">
      <c r="A16" s="4" t="s">
        <v>20</v>
      </c>
      <c r="B16" s="33">
        <f>'Fruits11-12'!BB12</f>
        <v>11.125</v>
      </c>
      <c r="C16" s="33">
        <f>'Fruits11-12'!BC12</f>
        <v>154.672</v>
      </c>
      <c r="D16" s="33">
        <f>'Veg11-12'!AT12</f>
        <v>6.4980000000000002</v>
      </c>
      <c r="E16" s="33">
        <f>'Veg11-12'!AU12</f>
        <v>78.200999999999993</v>
      </c>
      <c r="F16" s="33">
        <f>'Flower 11-12'!AL13</f>
        <v>0</v>
      </c>
      <c r="G16" s="33">
        <f>'Flower 11-12'!AM13</f>
        <v>0</v>
      </c>
      <c r="H16" s="33">
        <f>'Flower 11-12'!AN13</f>
        <v>0</v>
      </c>
      <c r="I16" s="33"/>
      <c r="J16" s="33"/>
      <c r="K16" s="33">
        <f>'Spices 11-12'!AJ9</f>
        <v>0.73099999999999998</v>
      </c>
      <c r="L16" s="33">
        <f>'Spices 11-12'!AK9</f>
        <v>0.23400000000000001</v>
      </c>
      <c r="M16" s="33">
        <f>'Plant11-12'!J12</f>
        <v>84.927999999999997</v>
      </c>
      <c r="N16" s="33">
        <f>'Plant11-12'!K12</f>
        <v>120.617</v>
      </c>
      <c r="O16" s="34">
        <f t="shared" si="0"/>
        <v>103.282</v>
      </c>
      <c r="P16" s="34">
        <f t="shared" si="1"/>
        <v>353.72399999999999</v>
      </c>
    </row>
    <row r="17" spans="1:16" s="18" customFormat="1" ht="14.25" customHeight="1" x14ac:dyDescent="0.2">
      <c r="A17" s="4" t="s">
        <v>21</v>
      </c>
      <c r="B17" s="33">
        <f>'Fruits11-12'!BB13</f>
        <v>353.73</v>
      </c>
      <c r="C17" s="33">
        <f>'Fruits11-12'!BC13</f>
        <v>7522.4299999999994</v>
      </c>
      <c r="D17" s="33">
        <f>'Veg11-12'!AT13</f>
        <v>517.63</v>
      </c>
      <c r="E17" s="33">
        <f>'Veg11-12'!AU13</f>
        <v>10049.81</v>
      </c>
      <c r="F17" s="33">
        <f>'Flower 11-12'!AL14</f>
        <v>15.96</v>
      </c>
      <c r="G17" s="33">
        <f>'Flower 11-12'!AM14</f>
        <v>135.5</v>
      </c>
      <c r="H17" s="33">
        <f>'Flower 11-12'!AN14</f>
        <v>0</v>
      </c>
      <c r="I17" s="33"/>
      <c r="J17" s="33"/>
      <c r="K17" s="33">
        <f>'Spices 11-12'!AJ10</f>
        <v>551.66499999999996</v>
      </c>
      <c r="L17" s="33">
        <f>'Spices 11-12'!AK10</f>
        <v>882.14099999999996</v>
      </c>
      <c r="M17" s="33">
        <f>'Plant11-12'!J13</f>
        <v>28.56</v>
      </c>
      <c r="N17" s="33">
        <f>'Plant11-12'!K13</f>
        <v>240.75</v>
      </c>
      <c r="O17" s="34">
        <f t="shared" si="0"/>
        <v>1467.5450000000001</v>
      </c>
      <c r="P17" s="34">
        <f t="shared" si="1"/>
        <v>18830.630999999998</v>
      </c>
    </row>
    <row r="18" spans="1:16" s="18" customFormat="1" ht="14.25" customHeight="1" x14ac:dyDescent="0.2">
      <c r="A18" s="4" t="s">
        <v>22</v>
      </c>
      <c r="B18" s="33">
        <f>'Fruits11-12'!BB14</f>
        <v>47.03</v>
      </c>
      <c r="C18" s="33">
        <f>'Fruits11-12'!BC14</f>
        <v>476.54999999999995</v>
      </c>
      <c r="D18" s="33">
        <f>'Veg11-12'!AT14</f>
        <v>356.77</v>
      </c>
      <c r="E18" s="33">
        <f>'Veg11-12'!AU14</f>
        <v>5068.4199999999992</v>
      </c>
      <c r="F18" s="33">
        <v>6.34</v>
      </c>
      <c r="G18" s="33">
        <v>64.150000000000006</v>
      </c>
      <c r="H18" s="33">
        <v>1269.47</v>
      </c>
      <c r="I18" s="33">
        <v>1.73</v>
      </c>
      <c r="J18" s="33">
        <v>1.1299999999999999</v>
      </c>
      <c r="K18" s="33">
        <f>'Spices 11-12'!AJ11</f>
        <v>12.797999999999998</v>
      </c>
      <c r="L18" s="33">
        <f>'Spices 11-12'!AK11</f>
        <v>61.685000000000009</v>
      </c>
      <c r="M18" s="33">
        <f>'Plant11-12'!J14</f>
        <v>0</v>
      </c>
      <c r="N18" s="33">
        <f>'Plant11-12'!K14</f>
        <v>0</v>
      </c>
      <c r="O18" s="34">
        <f t="shared" si="0"/>
        <v>424.66799999999995</v>
      </c>
      <c r="P18" s="34">
        <f t="shared" si="1"/>
        <v>5671.9349999999995</v>
      </c>
    </row>
    <row r="19" spans="1:16" s="18" customFormat="1" ht="14.25" customHeight="1" x14ac:dyDescent="0.2">
      <c r="A19" s="4" t="s">
        <v>23</v>
      </c>
      <c r="B19" s="33">
        <f>'Fruits11-12'!BB15</f>
        <v>214.57400000000007</v>
      </c>
      <c r="C19" s="33">
        <f>'Fruits11-12'!BC15</f>
        <v>372.82300000000004</v>
      </c>
      <c r="D19" s="33">
        <f>'Veg11-12'!AT15</f>
        <v>85.679999999999993</v>
      </c>
      <c r="E19" s="33">
        <f>'Veg11-12'!AU15</f>
        <v>1561.51</v>
      </c>
      <c r="F19" s="33">
        <v>0.86</v>
      </c>
      <c r="G19" s="33">
        <v>35.292999999999999</v>
      </c>
      <c r="H19" s="33">
        <v>1948.057</v>
      </c>
      <c r="I19" s="33"/>
      <c r="J19" s="33"/>
      <c r="K19" s="33">
        <f>'Spices 11-12'!AJ12</f>
        <v>4.7660000000000009</v>
      </c>
      <c r="L19" s="33">
        <f>'Spices 11-12'!AK12</f>
        <v>19.259000000000004</v>
      </c>
      <c r="M19" s="33">
        <f>'Plant11-12'!J15</f>
        <v>0</v>
      </c>
      <c r="N19" s="33">
        <f>'Plant11-12'!K15</f>
        <v>0</v>
      </c>
      <c r="O19" s="34">
        <f t="shared" si="0"/>
        <v>305.88000000000011</v>
      </c>
      <c r="P19" s="34">
        <f t="shared" si="1"/>
        <v>1988.885</v>
      </c>
    </row>
    <row r="20" spans="1:16" s="18" customFormat="1" ht="14.25" customHeight="1" x14ac:dyDescent="0.2">
      <c r="A20" s="4" t="s">
        <v>24</v>
      </c>
      <c r="B20" s="33">
        <f>'Fruits11-12'!BB16</f>
        <v>455.74171000000001</v>
      </c>
      <c r="C20" s="33">
        <f>'Fruits11-12'!BC16</f>
        <v>2329.8878900000004</v>
      </c>
      <c r="D20" s="33">
        <f>'Veg11-12'!AT16</f>
        <v>63.056999999999988</v>
      </c>
      <c r="E20" s="33">
        <f>'Veg11-12'!AU16</f>
        <v>1395.4720000000002</v>
      </c>
      <c r="F20" s="33">
        <f>'Flower 11-12'!AL17</f>
        <v>0.17650000000000002</v>
      </c>
      <c r="G20" s="33">
        <f>'Flower 11-12'!AM17</f>
        <v>1.06</v>
      </c>
      <c r="H20" s="33">
        <f>'Flower 11-12'!AN17</f>
        <v>155.92000000000002</v>
      </c>
      <c r="I20" s="33"/>
      <c r="J20" s="33"/>
      <c r="K20" s="33">
        <f>'Spices 11-12'!AJ13</f>
        <v>4.1470000000000002</v>
      </c>
      <c r="L20" s="33">
        <f>'Spices 11-12'!AK13</f>
        <v>1.0773499999999998</v>
      </c>
      <c r="M20" s="33">
        <f>'Plant11-12'!J16</f>
        <v>0</v>
      </c>
      <c r="N20" s="33">
        <f>'Plant11-12'!K16</f>
        <v>0</v>
      </c>
      <c r="O20" s="34">
        <f t="shared" si="0"/>
        <v>523.12221000000011</v>
      </c>
      <c r="P20" s="34">
        <f t="shared" si="1"/>
        <v>3727.4972400000006</v>
      </c>
    </row>
    <row r="21" spans="1:16" s="18" customFormat="1" ht="14.25" customHeight="1" x14ac:dyDescent="0.2">
      <c r="A21" s="4" t="s">
        <v>25</v>
      </c>
      <c r="B21" s="33">
        <f>'Fruits11-12'!BB17</f>
        <v>83.765000000000001</v>
      </c>
      <c r="C21" s="33">
        <f>'Fruits11-12'!BC17</f>
        <v>850.20400000000006</v>
      </c>
      <c r="D21" s="33">
        <f>'Veg11-12'!AT17</f>
        <v>261.24099999999999</v>
      </c>
      <c r="E21" s="33">
        <f>'Veg11-12'!AU17</f>
        <v>3902.6279999999997</v>
      </c>
      <c r="F21" s="33">
        <f>'Flower 11-12'!AL18</f>
        <v>1.6</v>
      </c>
      <c r="G21" s="33">
        <f>'Flower 11-12'!AM18</f>
        <v>22.026</v>
      </c>
      <c r="H21" s="33">
        <f>'Flower 11-12'!AN18</f>
        <v>1711</v>
      </c>
      <c r="I21" s="33">
        <v>0.1</v>
      </c>
      <c r="J21" s="33">
        <v>0</v>
      </c>
      <c r="K21" s="33">
        <f>'Spices 11-12'!AJ14</f>
        <v>0</v>
      </c>
      <c r="L21" s="33">
        <f>'Spices 11-12'!AK14</f>
        <v>0</v>
      </c>
      <c r="M21" s="33">
        <f>'Plant11-12'!J17</f>
        <v>10.5</v>
      </c>
      <c r="N21" s="33">
        <f>'Plant11-12'!K17</f>
        <v>4</v>
      </c>
      <c r="O21" s="34">
        <f t="shared" si="0"/>
        <v>357.20600000000002</v>
      </c>
      <c r="P21" s="34">
        <f t="shared" si="1"/>
        <v>4778.8579999999993</v>
      </c>
    </row>
    <row r="22" spans="1:16" s="18" customFormat="1" ht="14.25" customHeight="1" x14ac:dyDescent="0.2">
      <c r="A22" s="4" t="s">
        <v>26</v>
      </c>
      <c r="B22" s="33">
        <f>'Fruits11-12'!BB18</f>
        <v>371.80000000000013</v>
      </c>
      <c r="C22" s="33">
        <f>'Fruits11-12'!BC18</f>
        <v>6428.0999999999995</v>
      </c>
      <c r="D22" s="33">
        <f>'Veg11-12'!AT18</f>
        <v>454.70000000000005</v>
      </c>
      <c r="E22" s="33">
        <f>'Veg11-12'!AU18</f>
        <v>7662.5</v>
      </c>
      <c r="F22" s="33">
        <v>29.219000000000001</v>
      </c>
      <c r="G22" s="33">
        <v>211.54</v>
      </c>
      <c r="H22" s="33">
        <v>10388</v>
      </c>
      <c r="I22" s="33">
        <f>1.529+1.883</f>
        <v>3.4119999999999999</v>
      </c>
      <c r="J22" s="33">
        <f>16.494+3.309</f>
        <v>19.803000000000001</v>
      </c>
      <c r="K22" s="33">
        <f>'Spices 11-12'!AJ15</f>
        <v>265.11700000000002</v>
      </c>
      <c r="L22" s="33">
        <f>'Spices 11-12'!AK15</f>
        <v>502.46100000000001</v>
      </c>
      <c r="M22" s="33">
        <f>'Plant11-12'!J18</f>
        <v>879.68000000000006</v>
      </c>
      <c r="N22" s="33">
        <f>'Plant11-12'!K18</f>
        <v>4233.3999999999996</v>
      </c>
      <c r="O22" s="34">
        <f t="shared" si="0"/>
        <v>2003.9280000000003</v>
      </c>
      <c r="P22" s="34">
        <f t="shared" si="1"/>
        <v>19057.803999999996</v>
      </c>
    </row>
    <row r="23" spans="1:16" s="18" customFormat="1" ht="14.25" customHeight="1" x14ac:dyDescent="0.2">
      <c r="A23" s="4" t="s">
        <v>27</v>
      </c>
      <c r="B23" s="33">
        <f>'Fruits11-12'!BB19</f>
        <v>296.13799999999998</v>
      </c>
      <c r="C23" s="33">
        <f>'Fruits11-12'!BC19</f>
        <v>2429.5349999999999</v>
      </c>
      <c r="D23" s="33">
        <f>'Veg11-12'!AT19</f>
        <v>149.054</v>
      </c>
      <c r="E23" s="33">
        <f>'Veg11-12'!AU19</f>
        <v>3626.0039999999999</v>
      </c>
      <c r="F23" s="33">
        <f>'Flower 11-12'!AL20</f>
        <v>0</v>
      </c>
      <c r="G23" s="33">
        <f>'Flower 11-12'!AM20</f>
        <v>0</v>
      </c>
      <c r="H23" s="33">
        <f>'Flower 11-12'!AN20</f>
        <v>0</v>
      </c>
      <c r="I23" s="33"/>
      <c r="J23" s="33"/>
      <c r="K23" s="33">
        <f>'Spices 11-12'!AJ16</f>
        <v>254.54999999999998</v>
      </c>
      <c r="L23" s="33">
        <f>'Spices 11-12'!AK16</f>
        <v>112.80236000000001</v>
      </c>
      <c r="M23" s="33">
        <f>'Plant11-12'!J19</f>
        <v>958.28499999999997</v>
      </c>
      <c r="N23" s="33">
        <f>'Plant11-12'!K19</f>
        <v>4171.07</v>
      </c>
      <c r="O23" s="34">
        <f t="shared" si="0"/>
        <v>1658.027</v>
      </c>
      <c r="P23" s="34">
        <f t="shared" si="1"/>
        <v>10339.411359999998</v>
      </c>
    </row>
    <row r="24" spans="1:16" s="18" customFormat="1" ht="14.25" customHeight="1" x14ac:dyDescent="0.2">
      <c r="A24" s="4" t="s">
        <v>60</v>
      </c>
      <c r="B24" s="33">
        <f>'Fruits11-12'!BB20</f>
        <v>0.22200000000000003</v>
      </c>
      <c r="C24" s="33">
        <f>'Fruits11-12'!BC20</f>
        <v>0.42865000000000003</v>
      </c>
      <c r="D24" s="33">
        <f>'Veg11-12'!AT20</f>
        <v>0.2505</v>
      </c>
      <c r="E24" s="33">
        <f>'Veg11-12'!AU20</f>
        <v>0.31101000000000001</v>
      </c>
      <c r="F24" s="33">
        <f>'Flower 11-12'!AL21</f>
        <v>0</v>
      </c>
      <c r="G24" s="33">
        <f>'Flower 11-12'!AM21</f>
        <v>0</v>
      </c>
      <c r="H24" s="33">
        <f>'Flower 11-12'!AN21</f>
        <v>0</v>
      </c>
      <c r="I24" s="33"/>
      <c r="J24" s="33"/>
      <c r="K24" s="33"/>
      <c r="L24" s="33"/>
      <c r="M24" s="33">
        <f>'Plant11-12'!J20</f>
        <v>2.5680000000000001</v>
      </c>
      <c r="N24" s="33">
        <f>'Plant11-12'!K20</f>
        <v>48.74</v>
      </c>
      <c r="O24" s="34">
        <f t="shared" si="0"/>
        <v>3.0405000000000002</v>
      </c>
      <c r="P24" s="34">
        <f t="shared" si="1"/>
        <v>49.479660000000003</v>
      </c>
    </row>
    <row r="25" spans="1:16" s="18" customFormat="1" ht="14.25" customHeight="1" x14ac:dyDescent="0.2">
      <c r="A25" s="4" t="s">
        <v>29</v>
      </c>
      <c r="B25" s="33">
        <f>'Fruits11-12'!BB21</f>
        <v>159.57400000000001</v>
      </c>
      <c r="C25" s="33">
        <f>'Fruits11-12'!BC21</f>
        <v>3391.277</v>
      </c>
      <c r="D25" s="33">
        <f>'Veg11-12'!AT21</f>
        <v>506.99099999999999</v>
      </c>
      <c r="E25" s="33">
        <f>'Veg11-12'!AU21</f>
        <v>10084.006000000001</v>
      </c>
      <c r="F25" s="33">
        <f>'Flower 11-12'!AL22</f>
        <v>15.613</v>
      </c>
      <c r="G25" s="33">
        <f>'Flower 11-12'!AM22</f>
        <v>150.66499999999999</v>
      </c>
      <c r="H25" s="33">
        <f>'Flower 11-12'!AN22</f>
        <v>0</v>
      </c>
      <c r="I25" s="33">
        <v>43.594999999999999</v>
      </c>
      <c r="J25" s="33">
        <v>106.80800000000001</v>
      </c>
      <c r="K25" s="33">
        <f>'Spices 11-12'!AJ17</f>
        <v>299.90999999999997</v>
      </c>
      <c r="L25" s="33">
        <f>'Spices 11-12'!AK17</f>
        <v>461.16999999999996</v>
      </c>
      <c r="M25" s="33">
        <f>'Plant11-12'!J21</f>
        <v>0</v>
      </c>
      <c r="N25" s="33">
        <f>'Plant11-12'!K21</f>
        <v>0</v>
      </c>
      <c r="O25" s="34">
        <f t="shared" si="0"/>
        <v>1025.683</v>
      </c>
      <c r="P25" s="34">
        <f t="shared" si="1"/>
        <v>14193.926000000003</v>
      </c>
    </row>
    <row r="26" spans="1:16" s="18" customFormat="1" ht="14.25" customHeight="1" x14ac:dyDescent="0.2">
      <c r="A26" s="4" t="s">
        <v>30</v>
      </c>
      <c r="B26" s="33">
        <f>'Fruits11-12'!BB22</f>
        <v>1560</v>
      </c>
      <c r="C26" s="33">
        <f>'Fruits11-12'!BC22</f>
        <v>10538</v>
      </c>
      <c r="D26" s="33">
        <f>'Veg11-12'!AT22</f>
        <v>591</v>
      </c>
      <c r="E26" s="33">
        <f>'Veg11-12'!AU22</f>
        <v>8778</v>
      </c>
      <c r="F26" s="33">
        <f>'Flower 11-12'!AL23</f>
        <v>18.880000000000003</v>
      </c>
      <c r="G26" s="33">
        <f>'Flower 11-12'!AM23</f>
        <v>104</v>
      </c>
      <c r="H26" s="33">
        <f>'Flower 11-12'!AN23</f>
        <v>7914</v>
      </c>
      <c r="I26" s="33"/>
      <c r="J26" s="33"/>
      <c r="K26" s="33">
        <f>'Spices 11-12'!AJ18</f>
        <v>116.52000000000001</v>
      </c>
      <c r="L26" s="33">
        <f>'Spices 11-12'!AK18</f>
        <v>106.47</v>
      </c>
      <c r="M26" s="33">
        <f>'Plant11-12'!J22</f>
        <v>206.2</v>
      </c>
      <c r="N26" s="33">
        <f>'Plant11-12'!K22</f>
        <v>339.58000000000004</v>
      </c>
      <c r="O26" s="34">
        <f t="shared" si="0"/>
        <v>2492.6</v>
      </c>
      <c r="P26" s="34">
        <f t="shared" si="1"/>
        <v>19866.050000000003</v>
      </c>
    </row>
    <row r="27" spans="1:16" s="18" customFormat="1" ht="14.25" customHeight="1" x14ac:dyDescent="0.2">
      <c r="A27" s="5" t="s">
        <v>31</v>
      </c>
      <c r="B27" s="33">
        <f>'Fruits11-12'!BB23</f>
        <v>49.47</v>
      </c>
      <c r="C27" s="33">
        <f>'Fruits11-12'!BC23</f>
        <v>405.84999999999997</v>
      </c>
      <c r="D27" s="33">
        <f>'Veg11-12'!AT23</f>
        <v>20.830000000000002</v>
      </c>
      <c r="E27" s="33">
        <f>'Veg11-12'!AU23</f>
        <v>200.32</v>
      </c>
      <c r="F27" s="33">
        <f>'Flower 11-12'!AL24</f>
        <v>0</v>
      </c>
      <c r="G27" s="33">
        <f>'Flower 11-12'!AM24</f>
        <v>0</v>
      </c>
      <c r="H27" s="33">
        <f>'Flower 11-12'!AN24</f>
        <v>0</v>
      </c>
      <c r="I27" s="33"/>
      <c r="J27" s="33"/>
      <c r="K27" s="33">
        <f>'Spices 11-12'!AJ19</f>
        <v>10.47</v>
      </c>
      <c r="L27" s="33">
        <f>'Spices 11-12'!AK19</f>
        <v>24.14</v>
      </c>
      <c r="M27" s="33">
        <f>'Plant11-12'!J23</f>
        <v>0</v>
      </c>
      <c r="N27" s="33">
        <f>'Plant11-12'!K23</f>
        <v>0</v>
      </c>
      <c r="O27" s="34">
        <f t="shared" si="0"/>
        <v>80.77</v>
      </c>
      <c r="P27" s="34">
        <f t="shared" si="1"/>
        <v>630.30999999999995</v>
      </c>
    </row>
    <row r="28" spans="1:16" s="18" customFormat="1" ht="14.25" customHeight="1" x14ac:dyDescent="0.2">
      <c r="A28" s="4" t="s">
        <v>32</v>
      </c>
      <c r="B28" s="33">
        <f>'Fruits11-12'!BB24</f>
        <v>32.305999999999997</v>
      </c>
      <c r="C28" s="33">
        <f>'Fruits11-12'!BC24</f>
        <v>300.42399999999998</v>
      </c>
      <c r="D28" s="33">
        <f>'Veg11-12'!AT24</f>
        <v>39.462999999999994</v>
      </c>
      <c r="E28" s="33">
        <f>'Veg11-12'!AU24</f>
        <v>385.01099999999997</v>
      </c>
      <c r="F28" s="33">
        <f>'Flower 11-12'!AL25</f>
        <v>0</v>
      </c>
      <c r="G28" s="33">
        <f>'Flower 11-12'!AM25</f>
        <v>0</v>
      </c>
      <c r="H28" s="33">
        <f>'Flower 11-12'!AN25</f>
        <v>0</v>
      </c>
      <c r="I28" s="33"/>
      <c r="J28" s="33"/>
      <c r="K28" s="33">
        <f>'Spices 11-12'!AJ20</f>
        <v>16.841999999999999</v>
      </c>
      <c r="L28" s="33">
        <f>'Spices 11-12'!AK20</f>
        <v>74.816000000000003</v>
      </c>
      <c r="M28" s="33">
        <f>'Plant11-12'!J24</f>
        <v>22.619999999999997</v>
      </c>
      <c r="N28" s="33">
        <f>'Plant11-12'!K24</f>
        <v>28.83</v>
      </c>
      <c r="O28" s="34">
        <f t="shared" si="0"/>
        <v>111.23099999999999</v>
      </c>
      <c r="P28" s="34">
        <f t="shared" si="1"/>
        <v>789.08100000000002</v>
      </c>
    </row>
    <row r="29" spans="1:16" s="18" customFormat="1" ht="14.25" customHeight="1" x14ac:dyDescent="0.2">
      <c r="A29" s="4" t="s">
        <v>33</v>
      </c>
      <c r="B29" s="33">
        <f>'Fruits11-12'!BB25</f>
        <v>43.68</v>
      </c>
      <c r="C29" s="33">
        <f>'Fruits11-12'!BC25</f>
        <v>275.71200000000005</v>
      </c>
      <c r="D29" s="33">
        <f>'Veg11-12'!AT25</f>
        <v>37.42</v>
      </c>
      <c r="E29" s="33">
        <f>'Veg11-12'!AU25</f>
        <v>221.10099999999997</v>
      </c>
      <c r="F29" s="33">
        <f>'Flower 11-12'!AL26</f>
        <v>0.129</v>
      </c>
      <c r="G29" s="33">
        <f>'Flower 11-12'!AM26</f>
        <v>0</v>
      </c>
      <c r="H29" s="33">
        <f>'Flower 11-12'!AN26</f>
        <v>349.01249999999999</v>
      </c>
      <c r="I29" s="33">
        <v>0.02</v>
      </c>
      <c r="J29" s="33">
        <v>0.06</v>
      </c>
      <c r="K29" s="33">
        <f>'Spices 11-12'!AJ21</f>
        <v>20.649000000000001</v>
      </c>
      <c r="L29" s="33">
        <f>'Spices 11-12'!AK21</f>
        <v>114.98159999999999</v>
      </c>
      <c r="M29" s="33">
        <f>'Plant11-12'!J25</f>
        <v>5.0299999999999994</v>
      </c>
      <c r="N29" s="33">
        <f>'Plant11-12'!K25</f>
        <v>14.450000000000001</v>
      </c>
      <c r="O29" s="34">
        <f t="shared" si="0"/>
        <v>106.928</v>
      </c>
      <c r="P29" s="34">
        <f t="shared" si="1"/>
        <v>626.30460000000005</v>
      </c>
    </row>
    <row r="30" spans="1:16" s="18" customFormat="1" ht="14.25" customHeight="1" x14ac:dyDescent="0.2">
      <c r="A30" s="5" t="s">
        <v>34</v>
      </c>
      <c r="B30" s="33">
        <f>'Fruits11-12'!BB26</f>
        <v>33.695</v>
      </c>
      <c r="C30" s="33">
        <f>'Fruits11-12'!BC26</f>
        <v>347.68</v>
      </c>
      <c r="D30" s="33">
        <f>'Veg11-12'!AT26</f>
        <v>33.042000000000002</v>
      </c>
      <c r="E30" s="33">
        <f>'Veg11-12'!AU26</f>
        <v>222.62600000000003</v>
      </c>
      <c r="F30" s="33">
        <f>'Flower 11-12'!AL27</f>
        <v>1.84E-2</v>
      </c>
      <c r="G30" s="33">
        <f>'Flower 11-12'!AM27</f>
        <v>0</v>
      </c>
      <c r="H30" s="33">
        <f>'Flower 11-12'!AN27</f>
        <v>15.356</v>
      </c>
      <c r="I30" s="33"/>
      <c r="J30" s="33"/>
      <c r="K30" s="33">
        <f>'Spices 11-12'!AJ22</f>
        <v>9.7650000000000006</v>
      </c>
      <c r="L30" s="33">
        <f>'Spices 11-12'!AK22</f>
        <v>39.166000000000004</v>
      </c>
      <c r="M30" s="33">
        <f>'Plant11-12'!J26</f>
        <v>1.1000000000000001</v>
      </c>
      <c r="N30" s="33">
        <f>'Plant11-12'!K26</f>
        <v>1.6</v>
      </c>
      <c r="O30" s="34">
        <f t="shared" si="0"/>
        <v>77.620399999999989</v>
      </c>
      <c r="P30" s="34">
        <f t="shared" si="1"/>
        <v>611.07200000000012</v>
      </c>
    </row>
    <row r="31" spans="1:16" s="18" customFormat="1" ht="14.25" customHeight="1" x14ac:dyDescent="0.2">
      <c r="A31" s="4" t="s">
        <v>214</v>
      </c>
      <c r="B31" s="33">
        <f>'Fruits11-12'!BB27</f>
        <v>328.99</v>
      </c>
      <c r="C31" s="33">
        <f>'Fruits11-12'!BC27</f>
        <v>2154.36</v>
      </c>
      <c r="D31" s="33">
        <f>'Veg11-12'!AT27</f>
        <v>690.06999999999994</v>
      </c>
      <c r="E31" s="33">
        <f>'Veg11-12'!AU27</f>
        <v>9520.5600000000013</v>
      </c>
      <c r="F31" s="33">
        <f>'Flower 11-12'!AL28</f>
        <v>7.54</v>
      </c>
      <c r="G31" s="33">
        <f>'Flower 11-12'!AM28</f>
        <v>26.079000000000001</v>
      </c>
      <c r="H31" s="33">
        <f>'Flower 11-12'!AN28</f>
        <v>6020</v>
      </c>
      <c r="I31" s="33">
        <v>1.921</v>
      </c>
      <c r="J31" s="33">
        <v>0.64</v>
      </c>
      <c r="K31" s="33">
        <f>'Spices 11-12'!AJ23</f>
        <v>123.92400000000001</v>
      </c>
      <c r="L31" s="33">
        <f>'Spices 11-12'!AK23</f>
        <v>187.5</v>
      </c>
      <c r="M31" s="33">
        <f>'Plant11-12'!J27</f>
        <v>211.44</v>
      </c>
      <c r="N31" s="33">
        <f>'Plant11-12'!K27</f>
        <v>354.04</v>
      </c>
      <c r="O31" s="34">
        <f t="shared" si="0"/>
        <v>1363.885</v>
      </c>
      <c r="P31" s="34">
        <f t="shared" si="1"/>
        <v>12243.179000000002</v>
      </c>
    </row>
    <row r="32" spans="1:16" s="18" customFormat="1" ht="14.25" customHeight="1" x14ac:dyDescent="0.2">
      <c r="A32" s="5" t="s">
        <v>186</v>
      </c>
      <c r="B32" s="33">
        <f>'Fruits11-12'!BB28</f>
        <v>0.57400000000000007</v>
      </c>
      <c r="C32" s="33">
        <f>'Fruits11-12'!BC28</f>
        <v>9.2289999999999992</v>
      </c>
      <c r="D32" s="33">
        <f>'Veg11-12'!AT28</f>
        <v>0.54500000000000004</v>
      </c>
      <c r="E32" s="33">
        <f>'Veg11-12'!AU28</f>
        <v>7.492</v>
      </c>
      <c r="F32" s="33">
        <f>'Flower 11-12'!AL29</f>
        <v>6.9999999999999993E-2</v>
      </c>
      <c r="G32" s="33">
        <f>'Flower 11-12'!AM29</f>
        <v>0.40760000000000002</v>
      </c>
      <c r="H32" s="33">
        <f>'Flower 11-12'!AN29</f>
        <v>0</v>
      </c>
      <c r="I32" s="33">
        <v>3.9E-2</v>
      </c>
      <c r="J32" s="33">
        <v>6.8000000000000005E-2</v>
      </c>
      <c r="K32" s="33">
        <f>'Spices 11-12'!AJ24</f>
        <v>8.5999999999999993E-2</v>
      </c>
      <c r="L32" s="33">
        <f>'Spices 11-12'!AK24</f>
        <v>0.115</v>
      </c>
      <c r="M32" s="33">
        <f>'Plant11-12'!J28</f>
        <v>2.16</v>
      </c>
      <c r="N32" s="33">
        <f>'Plant11-12'!K28</f>
        <v>20.079999999999998</v>
      </c>
      <c r="O32" s="34">
        <f t="shared" si="0"/>
        <v>3.4740000000000002</v>
      </c>
      <c r="P32" s="34">
        <f t="shared" si="1"/>
        <v>37.391599999999997</v>
      </c>
    </row>
    <row r="33" spans="1:16" s="18" customFormat="1" ht="14.25" customHeight="1" x14ac:dyDescent="0.2">
      <c r="A33" s="4" t="s">
        <v>35</v>
      </c>
      <c r="B33" s="33">
        <f>'Fruits11-12'!BB29</f>
        <v>71.473000000000013</v>
      </c>
      <c r="C33" s="33">
        <f>'Fruits11-12'!BC29</f>
        <v>1419.8620000000001</v>
      </c>
      <c r="D33" s="33">
        <f>'Veg11-12'!AT29</f>
        <v>178.21800000000002</v>
      </c>
      <c r="E33" s="33">
        <f>'Veg11-12'!AU29</f>
        <v>3674.5320000000006</v>
      </c>
      <c r="F33" s="33">
        <f>'Flower 11-12'!AL30</f>
        <v>2.06</v>
      </c>
      <c r="G33" s="33">
        <f>'Flower 11-12'!AM30</f>
        <v>10.054</v>
      </c>
      <c r="H33" s="33">
        <f>'Flower 11-12'!AN30</f>
        <v>6.5000000000000002E-2</v>
      </c>
      <c r="I33" s="33">
        <v>7.1239999999999997</v>
      </c>
      <c r="J33" s="33">
        <v>1.2849999999999999</v>
      </c>
      <c r="K33" s="33">
        <f>'Spices 11-12'!AJ25</f>
        <v>18.37</v>
      </c>
      <c r="L33" s="33">
        <f>'Spices 11-12'!AK25</f>
        <v>68.210000000000008</v>
      </c>
      <c r="M33" s="33">
        <f>'Plant11-12'!J29</f>
        <v>0</v>
      </c>
      <c r="N33" s="33">
        <f>'Plant11-12'!K29</f>
        <v>0</v>
      </c>
      <c r="O33" s="34">
        <f t="shared" si="0"/>
        <v>277.24500000000006</v>
      </c>
      <c r="P33" s="34">
        <f t="shared" si="1"/>
        <v>5173.9430000000002</v>
      </c>
    </row>
    <row r="34" spans="1:16" s="18" customFormat="1" ht="14.25" customHeight="1" x14ac:dyDescent="0.2">
      <c r="A34" s="4" t="s">
        <v>36</v>
      </c>
      <c r="B34" s="33">
        <f>'Fruits11-12'!BB30</f>
        <v>48.755000000000003</v>
      </c>
      <c r="C34" s="33">
        <f>'Fruits11-12'!BC30</f>
        <v>613.92500000000007</v>
      </c>
      <c r="D34" s="33">
        <f>'Veg11-12'!AT30</f>
        <v>181.70999999999995</v>
      </c>
      <c r="E34" s="33">
        <f>'Veg11-12'!AU30</f>
        <v>1287.4099999999999</v>
      </c>
      <c r="F34" s="33">
        <f>'Flower 11-12'!AL31</f>
        <v>2.4900000000000002</v>
      </c>
      <c r="G34" s="33">
        <f>'Flower 11-12'!AM31</f>
        <v>2.69</v>
      </c>
      <c r="H34" s="33">
        <f>'Flower 11-12'!AN31</f>
        <v>0</v>
      </c>
      <c r="I34" s="33">
        <v>280.62</v>
      </c>
      <c r="J34" s="33">
        <v>149.59700000000001</v>
      </c>
      <c r="K34" s="33">
        <f>'Spices 11-12'!AJ26</f>
        <v>730.50599999999997</v>
      </c>
      <c r="L34" s="33">
        <f>'Spices 11-12'!AK26</f>
        <v>871.63900000000012</v>
      </c>
      <c r="M34" s="33">
        <f>'Plant11-12'!J30</f>
        <v>0</v>
      </c>
      <c r="N34" s="33">
        <f>'Plant11-12'!K30</f>
        <v>0</v>
      </c>
      <c r="O34" s="34">
        <f t="shared" si="0"/>
        <v>1244.0809999999999</v>
      </c>
      <c r="P34" s="34">
        <f t="shared" si="1"/>
        <v>2925.2610000000004</v>
      </c>
    </row>
    <row r="35" spans="1:16" s="18" customFormat="1" ht="14.25" customHeight="1" x14ac:dyDescent="0.2">
      <c r="A35" s="4" t="s">
        <v>37</v>
      </c>
      <c r="B35" s="33">
        <f>'Fruits11-12'!BB31</f>
        <v>13.395</v>
      </c>
      <c r="C35" s="33">
        <f>'Fruits11-12'!BC31</f>
        <v>22.465</v>
      </c>
      <c r="D35" s="33">
        <f>'Veg11-12'!AT31</f>
        <v>25.03</v>
      </c>
      <c r="E35" s="33">
        <f>'Veg11-12'!AU31</f>
        <v>127.65199999999999</v>
      </c>
      <c r="F35" s="33">
        <f>'Flower 11-12'!AL32</f>
        <v>0.20500000000000002</v>
      </c>
      <c r="G35" s="33">
        <f>'Flower 11-12'!AM32</f>
        <v>25.95</v>
      </c>
      <c r="H35" s="33">
        <f>'Flower 11-12'!AN32</f>
        <v>209.05</v>
      </c>
      <c r="I35" s="33"/>
      <c r="J35" s="33"/>
      <c r="K35" s="33">
        <f>'Spices 11-12'!AJ27</f>
        <v>24.38</v>
      </c>
      <c r="L35" s="33">
        <f>'Spices 11-12'!AK27</f>
        <v>54.41</v>
      </c>
      <c r="M35" s="33">
        <f>'Plant11-12'!J31</f>
        <v>0</v>
      </c>
      <c r="N35" s="33">
        <f>'Plant11-12'!K31</f>
        <v>0</v>
      </c>
      <c r="O35" s="34">
        <f t="shared" si="0"/>
        <v>63.009999999999991</v>
      </c>
      <c r="P35" s="34">
        <f t="shared" si="1"/>
        <v>230.47699999999998</v>
      </c>
    </row>
    <row r="36" spans="1:16" s="18" customFormat="1" ht="14.25" customHeight="1" x14ac:dyDescent="0.2">
      <c r="A36" s="4" t="s">
        <v>61</v>
      </c>
      <c r="B36" s="33">
        <f>'Fruits11-12'!BB32</f>
        <v>331.96700000000004</v>
      </c>
      <c r="C36" s="33">
        <f>'Fruits11-12'!BC32</f>
        <v>8535.0500000000029</v>
      </c>
      <c r="D36" s="33">
        <f>'Veg11-12'!AT32</f>
        <v>306.65999999999997</v>
      </c>
      <c r="E36" s="33">
        <f>'Veg11-12'!AU32</f>
        <v>9068.489999999998</v>
      </c>
      <c r="F36" s="33">
        <f>'Flower 11-12'!AL33</f>
        <v>32.32</v>
      </c>
      <c r="G36" s="33">
        <f>'Flower 11-12'!AM33</f>
        <v>332.81</v>
      </c>
      <c r="H36" s="33">
        <f>'Flower 11-12'!AN33</f>
        <v>0</v>
      </c>
      <c r="I36" s="33">
        <v>12.26</v>
      </c>
      <c r="J36" s="33">
        <v>68.040000000000006</v>
      </c>
      <c r="K36" s="33">
        <f>'Spices 11-12'!AJ28</f>
        <v>157.33100000000002</v>
      </c>
      <c r="L36" s="33">
        <f>'Spices 11-12'!AK28</f>
        <v>426.38100000000003</v>
      </c>
      <c r="M36" s="33">
        <f>'Plant11-12'!J32</f>
        <v>594.89499999999998</v>
      </c>
      <c r="N36" s="33">
        <f>'Plant11-12'!K32</f>
        <v>4592.2800000000007</v>
      </c>
      <c r="O36" s="34">
        <f t="shared" si="0"/>
        <v>1435.433</v>
      </c>
      <c r="P36" s="34">
        <f t="shared" si="1"/>
        <v>23023.051000000007</v>
      </c>
    </row>
    <row r="37" spans="1:16" s="18" customFormat="1" ht="14.25" customHeight="1" x14ac:dyDescent="0.2">
      <c r="A37" s="4" t="s">
        <v>39</v>
      </c>
      <c r="B37" s="33">
        <f>'Fruits11-12'!BB33</f>
        <v>54.5</v>
      </c>
      <c r="C37" s="33">
        <f>'Fruits11-12'!BC33</f>
        <v>644.34800000000007</v>
      </c>
      <c r="D37" s="33">
        <f>'Veg11-12'!AT33</f>
        <v>34.200000000000003</v>
      </c>
      <c r="E37" s="33">
        <f>'Veg11-12'!AU33</f>
        <v>552.54999999999995</v>
      </c>
      <c r="F37" s="33">
        <f>'Flower 11-12'!AL34</f>
        <v>0</v>
      </c>
      <c r="G37" s="33">
        <f>'Flower 11-12'!AM34</f>
        <v>0</v>
      </c>
      <c r="H37" s="33">
        <f>'Flower 11-12'!AN34</f>
        <v>0</v>
      </c>
      <c r="I37" s="33"/>
      <c r="J37" s="33"/>
      <c r="K37" s="33">
        <f>'Spices 11-12'!AJ29</f>
        <v>5.6840000000000002</v>
      </c>
      <c r="L37" s="33">
        <f>'Spices 11-12'!AK29</f>
        <v>18.04</v>
      </c>
      <c r="M37" s="33">
        <f>'Plant11-12'!J33</f>
        <v>15.71</v>
      </c>
      <c r="N37" s="33">
        <f>'Plant11-12'!K33</f>
        <v>41.29</v>
      </c>
      <c r="O37" s="34">
        <f t="shared" si="0"/>
        <v>110.09399999999999</v>
      </c>
      <c r="P37" s="34">
        <f t="shared" si="1"/>
        <v>1256.2280000000001</v>
      </c>
    </row>
    <row r="38" spans="1:16" s="18" customFormat="1" ht="14.25" customHeight="1" x14ac:dyDescent="0.2">
      <c r="A38" s="4" t="s">
        <v>40</v>
      </c>
      <c r="B38" s="33">
        <f>'Fruits11-12'!BB34</f>
        <v>337.02500000000003</v>
      </c>
      <c r="C38" s="33">
        <f>'Fruits11-12'!BC34</f>
        <v>5795.0890000000009</v>
      </c>
      <c r="D38" s="33">
        <f>'Veg11-12'!AT34</f>
        <v>852.08699999999988</v>
      </c>
      <c r="E38" s="33">
        <f>'Veg11-12'!AU34</f>
        <v>18563.745999999999</v>
      </c>
      <c r="F38" s="33">
        <f>'Flower 11-12'!AL35</f>
        <v>14.493</v>
      </c>
      <c r="G38" s="33">
        <f>'Flower 11-12'!AM35</f>
        <v>27.052</v>
      </c>
      <c r="H38" s="33">
        <f>'Flower 11-12'!AN35</f>
        <v>4194</v>
      </c>
      <c r="I38" s="33">
        <v>133.69999999999999</v>
      </c>
      <c r="J38" s="33">
        <v>13.4</v>
      </c>
      <c r="K38" s="33">
        <f>'Spices 11-12'!AJ30</f>
        <v>58.286000000000001</v>
      </c>
      <c r="L38" s="33">
        <f>'Spices 11-12'!AK30</f>
        <v>201.97300000000001</v>
      </c>
      <c r="M38" s="33">
        <f>'Plant11-12'!J34</f>
        <v>0</v>
      </c>
      <c r="N38" s="33">
        <f>'Plant11-12'!K34</f>
        <v>0</v>
      </c>
      <c r="O38" s="34">
        <f t="shared" si="0"/>
        <v>1395.5909999999999</v>
      </c>
      <c r="P38" s="34">
        <f t="shared" si="1"/>
        <v>24601.260000000002</v>
      </c>
    </row>
    <row r="39" spans="1:16" s="18" customFormat="1" ht="14.25" customHeight="1" x14ac:dyDescent="0.2">
      <c r="A39" s="5" t="s">
        <v>100</v>
      </c>
      <c r="B39" s="33">
        <f>'Fruits11-12'!BB35</f>
        <v>200.72699999999998</v>
      </c>
      <c r="C39" s="33">
        <f>'Fruits11-12'!BC35</f>
        <v>802.12400000000002</v>
      </c>
      <c r="D39" s="33">
        <f>'Veg11-12'!AT35</f>
        <v>89.287999999999997</v>
      </c>
      <c r="E39" s="33">
        <f>'Veg11-12'!AU35</f>
        <v>1066.7049999999999</v>
      </c>
      <c r="F39" s="33">
        <f>'Flower 11-12'!AL36</f>
        <v>1.544</v>
      </c>
      <c r="G39" s="33">
        <f>'Flower 11-12'!AM36</f>
        <v>1.8049999999999999</v>
      </c>
      <c r="H39" s="33">
        <f>'Flower 11-12'!AN36</f>
        <v>3567.56</v>
      </c>
      <c r="I39" s="33"/>
      <c r="J39" s="33"/>
      <c r="K39" s="33">
        <f>'Spices 11-12'!AJ31</f>
        <v>6.6040000000000001</v>
      </c>
      <c r="L39" s="33">
        <f>'Spices 11-12'!AK31</f>
        <v>38.769999999999996</v>
      </c>
      <c r="M39" s="33">
        <f>'Plant11-12'!J35</f>
        <v>0</v>
      </c>
      <c r="N39" s="33">
        <f>'Plant11-12'!K35</f>
        <v>0</v>
      </c>
      <c r="O39" s="34">
        <f t="shared" si="0"/>
        <v>298.16299999999995</v>
      </c>
      <c r="P39" s="34">
        <f t="shared" si="1"/>
        <v>1909.404</v>
      </c>
    </row>
    <row r="40" spans="1:16" s="18" customFormat="1" ht="14.25" customHeight="1" x14ac:dyDescent="0.2">
      <c r="A40" s="4" t="s">
        <v>42</v>
      </c>
      <c r="B40" s="33">
        <f>'Fruits11-12'!BB36</f>
        <v>216.64400000000001</v>
      </c>
      <c r="C40" s="33">
        <f>'Fruits11-12'!BC36</f>
        <v>3055.4360000000001</v>
      </c>
      <c r="D40" s="33">
        <f>'Veg11-12'!AT36</f>
        <v>1330.9379999999999</v>
      </c>
      <c r="E40" s="33">
        <f>'Veg11-12'!AU36</f>
        <v>23415.685999999998</v>
      </c>
      <c r="F40" s="33">
        <f>'Flower 11-12'!AL37</f>
        <v>23.920999999999999</v>
      </c>
      <c r="G40" s="33">
        <f>'Flower 11-12'!AM37</f>
        <v>63.91</v>
      </c>
      <c r="H40" s="33">
        <f>'Flower 11-12'!AN37</f>
        <v>25042.1</v>
      </c>
      <c r="I40" s="33"/>
      <c r="J40" s="33"/>
      <c r="K40" s="33">
        <f>'Spices 11-12'!AJ32</f>
        <v>97.123999999999981</v>
      </c>
      <c r="L40" s="33">
        <f>'Spices 11-12'!AK32</f>
        <v>207.70400000000001</v>
      </c>
      <c r="M40" s="33">
        <f>'Plant11-12'!J36</f>
        <v>51.578000000000003</v>
      </c>
      <c r="N40" s="33">
        <f>'Plant11-12'!K36</f>
        <v>286.27999999999997</v>
      </c>
      <c r="O40" s="34">
        <f t="shared" si="0"/>
        <v>1720.2049999999999</v>
      </c>
      <c r="P40" s="34">
        <f t="shared" si="1"/>
        <v>27029.016</v>
      </c>
    </row>
    <row r="41" spans="1:16" s="18" customFormat="1" ht="14.25" customHeight="1" x14ac:dyDescent="0.2">
      <c r="A41" s="4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  <c r="P41" s="34"/>
    </row>
    <row r="42" spans="1:16" s="18" customFormat="1" ht="14.25" customHeight="1" x14ac:dyDescent="0.2">
      <c r="A42" s="4" t="s">
        <v>9</v>
      </c>
      <c r="B42" s="34">
        <f>SUM(B7:B41)</f>
        <v>6704.1747099999993</v>
      </c>
      <c r="C42" s="34">
        <f t="shared" ref="C42:P42" si="2">SUM(C7:C41)</f>
        <v>76424.212540000008</v>
      </c>
      <c r="D42" s="34">
        <f t="shared" si="2"/>
        <v>8989.5404999999973</v>
      </c>
      <c r="E42" s="34">
        <f t="shared" si="2"/>
        <v>156325.48100999999</v>
      </c>
      <c r="F42" s="34">
        <f t="shared" si="2"/>
        <v>253.65789999999998</v>
      </c>
      <c r="G42" s="34">
        <f t="shared" si="2"/>
        <v>1651.6109100000001</v>
      </c>
      <c r="H42" s="34">
        <f t="shared" si="2"/>
        <v>75065.980500000005</v>
      </c>
      <c r="I42" s="34">
        <f>SUM(I7:I41)</f>
        <v>505.59999999999997</v>
      </c>
      <c r="J42" s="34">
        <f t="shared" si="2"/>
        <v>565.70299999999997</v>
      </c>
      <c r="K42" s="34">
        <f t="shared" si="2"/>
        <v>3212.471</v>
      </c>
      <c r="L42" s="34">
        <f t="shared" si="2"/>
        <v>5951.4579999999996</v>
      </c>
      <c r="M42" s="34">
        <f t="shared" si="2"/>
        <v>3576.5279999999998</v>
      </c>
      <c r="N42" s="34">
        <f t="shared" si="2"/>
        <v>16358.683000000003</v>
      </c>
      <c r="O42" s="34">
        <f t="shared" si="2"/>
        <v>23241.972109999995</v>
      </c>
      <c r="P42" s="34">
        <f t="shared" si="2"/>
        <v>257277.14846000005</v>
      </c>
    </row>
    <row r="43" spans="1:16" s="18" customFormat="1" ht="14.25" customHeight="1" x14ac:dyDescent="0.2">
      <c r="A43" s="91" t="s">
        <v>223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</row>
    <row r="44" spans="1:16" s="18" customFormat="1" ht="14.25" customHeight="1" x14ac:dyDescent="0.2">
      <c r="A44" s="91" t="s">
        <v>224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</row>
    <row r="45" spans="1:16" ht="14.25" customHeight="1" x14ac:dyDescent="0.2">
      <c r="A45" s="23" t="s">
        <v>184</v>
      </c>
      <c r="B45" s="20"/>
      <c r="C45" s="20"/>
      <c r="D45" s="20"/>
      <c r="E45" s="20"/>
      <c r="F45" s="20"/>
      <c r="G45" s="20"/>
      <c r="H45" s="20"/>
      <c r="I45" s="21"/>
      <c r="J45" s="21"/>
      <c r="K45" s="21"/>
      <c r="L45" s="21"/>
      <c r="M45" s="22"/>
      <c r="N45" s="22"/>
    </row>
    <row r="46" spans="1:16" ht="14.25" customHeight="1" x14ac:dyDescent="0.2">
      <c r="A46" s="23" t="s">
        <v>203</v>
      </c>
      <c r="B46" s="20"/>
      <c r="C46" s="20"/>
      <c r="D46" s="20"/>
      <c r="E46" s="20"/>
      <c r="F46" s="20"/>
      <c r="G46" s="20"/>
      <c r="H46" s="20"/>
      <c r="I46" s="21"/>
      <c r="J46" s="21"/>
      <c r="K46" s="21"/>
      <c r="L46" s="21"/>
      <c r="M46" s="22"/>
      <c r="N46" s="22"/>
    </row>
    <row r="47" spans="1:16" s="18" customFormat="1" ht="14.25" customHeight="1" x14ac:dyDescent="0.2">
      <c r="A47" s="102" t="s">
        <v>211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</row>
    <row r="48" spans="1:16" s="18" customFormat="1" ht="14.25" customHeight="1" x14ac:dyDescent="0.2">
      <c r="A48" s="24" t="s">
        <v>200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6" ht="14.25" customHeight="1" x14ac:dyDescent="0.2">
      <c r="A49" s="26"/>
      <c r="B49" s="26"/>
      <c r="C49" s="26"/>
      <c r="D49" s="26"/>
      <c r="E49" s="26"/>
      <c r="F49" s="26"/>
    </row>
  </sheetData>
  <mergeCells count="12">
    <mergeCell ref="A1:P1"/>
    <mergeCell ref="A2:P2"/>
    <mergeCell ref="A3:P3"/>
    <mergeCell ref="A47:N47"/>
    <mergeCell ref="G5:H5"/>
    <mergeCell ref="K4:L4"/>
    <mergeCell ref="M4:N4"/>
    <mergeCell ref="O4:P4"/>
    <mergeCell ref="B4:C4"/>
    <mergeCell ref="D4:E4"/>
    <mergeCell ref="F4:H4"/>
    <mergeCell ref="I4:J4"/>
  </mergeCells>
  <phoneticPr fontId="24" type="noConversion"/>
  <printOptions horizontalCentered="1" verticalCentered="1"/>
  <pageMargins left="0.25" right="0.25" top="0.5" bottom="0.25" header="0.5" footer="0.25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44" sqref="F44"/>
    </sheetView>
  </sheetViews>
  <sheetFormatPr defaultRowHeight="19.5" customHeight="1" x14ac:dyDescent="0.2"/>
  <cols>
    <col min="1" max="1" width="22.7109375" style="66" customWidth="1"/>
    <col min="2" max="9" width="9.28515625" style="66" bestFit="1" customWidth="1"/>
    <col min="10" max="10" width="9.42578125" style="66" bestFit="1" customWidth="1"/>
    <col min="11" max="11" width="9.5703125" style="66" bestFit="1" customWidth="1"/>
    <col min="12" max="12" width="7.7109375" style="66" customWidth="1"/>
    <col min="13" max="19" width="9.42578125" style="66" bestFit="1" customWidth="1"/>
    <col min="20" max="26" width="9.28515625" style="66" bestFit="1" customWidth="1"/>
    <col min="27" max="27" width="9.42578125" style="66" bestFit="1" customWidth="1"/>
    <col min="28" max="42" width="9.28515625" style="66" bestFit="1" customWidth="1"/>
    <col min="43" max="47" width="9.42578125" style="66" bestFit="1" customWidth="1"/>
    <col min="48" max="49" width="9.28515625" style="66" bestFit="1" customWidth="1"/>
    <col min="50" max="54" width="9.42578125" style="66" bestFit="1" customWidth="1"/>
    <col min="55" max="55" width="10.7109375" style="66" bestFit="1" customWidth="1"/>
    <col min="56" max="16384" width="9.140625" style="66"/>
  </cols>
  <sheetData>
    <row r="1" spans="1:55" ht="19.5" customHeight="1" x14ac:dyDescent="0.2">
      <c r="A1" s="14" t="s">
        <v>99</v>
      </c>
      <c r="B1" s="111" t="s">
        <v>101</v>
      </c>
      <c r="C1" s="111"/>
      <c r="D1" s="112" t="s">
        <v>204</v>
      </c>
      <c r="E1" s="113"/>
      <c r="F1" s="112" t="s">
        <v>0</v>
      </c>
      <c r="G1" s="113"/>
      <c r="H1" s="112" t="s">
        <v>102</v>
      </c>
      <c r="I1" s="113"/>
      <c r="J1" s="112" t="s">
        <v>1</v>
      </c>
      <c r="K1" s="113"/>
      <c r="L1" s="112" t="s">
        <v>103</v>
      </c>
      <c r="M1" s="113"/>
      <c r="N1" s="114" t="s">
        <v>104</v>
      </c>
      <c r="O1" s="115"/>
      <c r="P1" s="111" t="s">
        <v>105</v>
      </c>
      <c r="Q1" s="111"/>
      <c r="R1" s="111" t="s">
        <v>2</v>
      </c>
      <c r="S1" s="111"/>
      <c r="T1" s="112" t="s">
        <v>106</v>
      </c>
      <c r="U1" s="113"/>
      <c r="V1" s="111" t="s">
        <v>107</v>
      </c>
      <c r="W1" s="111"/>
      <c r="X1" s="111" t="s">
        <v>3</v>
      </c>
      <c r="Y1" s="111"/>
      <c r="Z1" s="111" t="s">
        <v>4</v>
      </c>
      <c r="AA1" s="111"/>
      <c r="AB1" s="111" t="s">
        <v>5</v>
      </c>
      <c r="AC1" s="111"/>
      <c r="AD1" s="112" t="s">
        <v>108</v>
      </c>
      <c r="AE1" s="113"/>
      <c r="AF1" s="112" t="s">
        <v>109</v>
      </c>
      <c r="AG1" s="113"/>
      <c r="AH1" s="111" t="s">
        <v>110</v>
      </c>
      <c r="AI1" s="111"/>
      <c r="AJ1" s="111" t="s">
        <v>111</v>
      </c>
      <c r="AK1" s="111"/>
      <c r="AL1" s="111" t="s">
        <v>112</v>
      </c>
      <c r="AM1" s="111"/>
      <c r="AN1" s="111" t="s">
        <v>6</v>
      </c>
      <c r="AO1" s="111"/>
      <c r="AP1" s="111" t="s">
        <v>113</v>
      </c>
      <c r="AQ1" s="111"/>
      <c r="AR1" s="111" t="s">
        <v>114</v>
      </c>
      <c r="AS1" s="111"/>
      <c r="AT1" s="111" t="s">
        <v>7</v>
      </c>
      <c r="AU1" s="111"/>
      <c r="AV1" s="112" t="s">
        <v>115</v>
      </c>
      <c r="AW1" s="113"/>
      <c r="AX1" s="111" t="s">
        <v>116</v>
      </c>
      <c r="AY1" s="111"/>
      <c r="AZ1" s="111" t="s">
        <v>117</v>
      </c>
      <c r="BA1" s="111"/>
      <c r="BB1" s="111" t="s">
        <v>118</v>
      </c>
      <c r="BC1" s="111"/>
    </row>
    <row r="2" spans="1:55" ht="19.5" customHeight="1" x14ac:dyDescent="0.2">
      <c r="A2" s="6"/>
      <c r="B2" s="14" t="s">
        <v>51</v>
      </c>
      <c r="C2" s="14" t="s">
        <v>10</v>
      </c>
      <c r="D2" s="14" t="s">
        <v>51</v>
      </c>
      <c r="E2" s="14" t="s">
        <v>10</v>
      </c>
      <c r="F2" s="14" t="s">
        <v>51</v>
      </c>
      <c r="G2" s="14" t="s">
        <v>10</v>
      </c>
      <c r="H2" s="14" t="s">
        <v>51</v>
      </c>
      <c r="I2" s="14" t="s">
        <v>10</v>
      </c>
      <c r="J2" s="14" t="s">
        <v>51</v>
      </c>
      <c r="K2" s="14" t="s">
        <v>10</v>
      </c>
      <c r="L2" s="14" t="s">
        <v>51</v>
      </c>
      <c r="M2" s="14" t="s">
        <v>10</v>
      </c>
      <c r="N2" s="14" t="s">
        <v>51</v>
      </c>
      <c r="O2" s="14" t="s">
        <v>10</v>
      </c>
      <c r="P2" s="14" t="s">
        <v>51</v>
      </c>
      <c r="Q2" s="14" t="s">
        <v>10</v>
      </c>
      <c r="R2" s="14" t="s">
        <v>51</v>
      </c>
      <c r="S2" s="14" t="s">
        <v>10</v>
      </c>
      <c r="T2" s="14" t="s">
        <v>51</v>
      </c>
      <c r="U2" s="14" t="s">
        <v>10</v>
      </c>
      <c r="V2" s="14" t="s">
        <v>51</v>
      </c>
      <c r="W2" s="14" t="s">
        <v>10</v>
      </c>
      <c r="X2" s="14" t="s">
        <v>51</v>
      </c>
      <c r="Y2" s="14" t="s">
        <v>10</v>
      </c>
      <c r="Z2" s="14" t="s">
        <v>51</v>
      </c>
      <c r="AA2" s="14" t="s">
        <v>10</v>
      </c>
      <c r="AB2" s="14" t="s">
        <v>51</v>
      </c>
      <c r="AC2" s="14" t="s">
        <v>10</v>
      </c>
      <c r="AD2" s="14" t="s">
        <v>51</v>
      </c>
      <c r="AE2" s="14" t="s">
        <v>10</v>
      </c>
      <c r="AF2" s="14" t="s">
        <v>51</v>
      </c>
      <c r="AG2" s="14" t="s">
        <v>10</v>
      </c>
      <c r="AH2" s="14" t="s">
        <v>51</v>
      </c>
      <c r="AI2" s="14" t="s">
        <v>10</v>
      </c>
      <c r="AJ2" s="14" t="s">
        <v>51</v>
      </c>
      <c r="AK2" s="14" t="s">
        <v>10</v>
      </c>
      <c r="AL2" s="14" t="s">
        <v>51</v>
      </c>
      <c r="AM2" s="14" t="s">
        <v>10</v>
      </c>
      <c r="AN2" s="14" t="s">
        <v>51</v>
      </c>
      <c r="AO2" s="14" t="s">
        <v>10</v>
      </c>
      <c r="AP2" s="14" t="s">
        <v>51</v>
      </c>
      <c r="AQ2" s="14" t="s">
        <v>10</v>
      </c>
      <c r="AR2" s="14" t="s">
        <v>51</v>
      </c>
      <c r="AS2" s="14" t="s">
        <v>10</v>
      </c>
      <c r="AT2" s="14" t="s">
        <v>51</v>
      </c>
      <c r="AU2" s="14" t="s">
        <v>10</v>
      </c>
      <c r="AV2" s="14" t="s">
        <v>51</v>
      </c>
      <c r="AW2" s="14" t="s">
        <v>10</v>
      </c>
      <c r="AX2" s="14" t="s">
        <v>51</v>
      </c>
      <c r="AY2" s="14" t="s">
        <v>10</v>
      </c>
      <c r="AZ2" s="14" t="s">
        <v>51</v>
      </c>
      <c r="BA2" s="14" t="s">
        <v>10</v>
      </c>
      <c r="BB2" s="14" t="s">
        <v>51</v>
      </c>
      <c r="BC2" s="14" t="s">
        <v>10</v>
      </c>
    </row>
    <row r="3" spans="1:55" ht="19.5" customHeight="1" x14ac:dyDescent="0.2">
      <c r="A3" s="7" t="s">
        <v>11</v>
      </c>
      <c r="B3" s="67"/>
      <c r="C3" s="67"/>
      <c r="D3" s="67"/>
      <c r="E3" s="67"/>
      <c r="F3" s="67"/>
      <c r="G3" s="67"/>
      <c r="H3" s="67"/>
      <c r="I3" s="67"/>
      <c r="J3" s="67">
        <v>1.681</v>
      </c>
      <c r="K3" s="67">
        <v>18.535</v>
      </c>
      <c r="L3" s="67"/>
      <c r="M3" s="67"/>
      <c r="N3" s="67">
        <v>1.2E-2</v>
      </c>
      <c r="O3" s="67">
        <v>9.5000000000000001E-2</v>
      </c>
      <c r="P3" s="67"/>
      <c r="Q3" s="67"/>
      <c r="R3" s="67">
        <v>4.2999999999999997E-2</v>
      </c>
      <c r="S3" s="67">
        <v>0.4</v>
      </c>
      <c r="T3" s="67"/>
      <c r="U3" s="67"/>
      <c r="V3" s="67"/>
      <c r="W3" s="67"/>
      <c r="X3" s="67"/>
      <c r="Y3" s="67"/>
      <c r="Z3" s="67">
        <v>0.29199999999999998</v>
      </c>
      <c r="AA3" s="67">
        <v>2.75</v>
      </c>
      <c r="AB3" s="67">
        <v>0.32</v>
      </c>
      <c r="AC3" s="67">
        <v>2.35</v>
      </c>
      <c r="AD3" s="67"/>
      <c r="AE3" s="67"/>
      <c r="AF3" s="68">
        <f>'Citrus11-12'!J3</f>
        <v>0.28100000000000003</v>
      </c>
      <c r="AG3" s="68">
        <f>'Citrus11-12'!K3</f>
        <v>1.35</v>
      </c>
      <c r="AH3" s="67"/>
      <c r="AI3" s="67"/>
      <c r="AJ3" s="67"/>
      <c r="AK3" s="67"/>
      <c r="AL3" s="67"/>
      <c r="AM3" s="67"/>
      <c r="AN3" s="67">
        <v>0.23499999999999999</v>
      </c>
      <c r="AO3" s="67">
        <v>0.7</v>
      </c>
      <c r="AP3" s="67"/>
      <c r="AQ3" s="67"/>
      <c r="AR3" s="67">
        <v>1.4999999999999999E-2</v>
      </c>
      <c r="AS3" s="67">
        <v>5.5E-2</v>
      </c>
      <c r="AT3" s="67">
        <v>0.16200000000000001</v>
      </c>
      <c r="AU3" s="67">
        <v>3.1</v>
      </c>
      <c r="AV3" s="67"/>
      <c r="AW3" s="67"/>
      <c r="AX3" s="67"/>
      <c r="AY3" s="67"/>
      <c r="AZ3" s="67">
        <v>0.19500000000000001</v>
      </c>
      <c r="BA3" s="67">
        <v>1.1599999999999999</v>
      </c>
      <c r="BB3" s="52">
        <f t="shared" ref="BB3:BC8" si="0">B3+D3+F3+H3+J3+L3+N3+P3+R3+T3+V3+X3+Z3+AB3+AD3+AF3+AH3+AJ3+AL3+AN3+AP3+AR3+AT3+AV3+AX3+AZ3</f>
        <v>3.2359999999999998</v>
      </c>
      <c r="BC3" s="52">
        <f t="shared" si="0"/>
        <v>30.495000000000001</v>
      </c>
    </row>
    <row r="4" spans="1:55" ht="19.5" customHeight="1" x14ac:dyDescent="0.2">
      <c r="A4" s="7" t="s">
        <v>12</v>
      </c>
      <c r="B4" s="67"/>
      <c r="C4" s="67"/>
      <c r="D4" s="67"/>
      <c r="E4" s="67"/>
      <c r="F4" s="67"/>
      <c r="G4" s="67"/>
      <c r="H4" s="67"/>
      <c r="I4" s="67"/>
      <c r="J4" s="67">
        <v>82.846999999999994</v>
      </c>
      <c r="K4" s="67">
        <v>2899.6289999999999</v>
      </c>
      <c r="L4" s="67">
        <v>0.33100000000000002</v>
      </c>
      <c r="M4" s="67">
        <v>3.3119999999999998</v>
      </c>
      <c r="N4" s="67">
        <v>4.5199999999999996</v>
      </c>
      <c r="O4" s="67">
        <v>27.122</v>
      </c>
      <c r="P4" s="67">
        <v>1.3740000000000001</v>
      </c>
      <c r="Q4" s="67">
        <v>28.855</v>
      </c>
      <c r="R4" s="67">
        <v>8.9329999999999998</v>
      </c>
      <c r="S4" s="67">
        <v>133.989</v>
      </c>
      <c r="T4" s="67"/>
      <c r="U4" s="67"/>
      <c r="V4" s="67"/>
      <c r="W4" s="67"/>
      <c r="X4" s="67"/>
      <c r="Y4" s="67"/>
      <c r="Z4" s="67">
        <v>408.69200000000001</v>
      </c>
      <c r="AA4" s="67">
        <v>3514.7530000000002</v>
      </c>
      <c r="AB4" s="67">
        <v>14.874000000000001</v>
      </c>
      <c r="AC4" s="67">
        <v>1189.9269999999999</v>
      </c>
      <c r="AD4" s="67"/>
      <c r="AE4" s="67"/>
      <c r="AF4" s="68">
        <f>'Citrus11-12'!J4</f>
        <v>134.45500000000001</v>
      </c>
      <c r="AG4" s="68">
        <f>'Citrus11-12'!K4</f>
        <v>1886.8909999999998</v>
      </c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>
        <v>2.9020000000000001</v>
      </c>
      <c r="AS4" s="67">
        <v>29.024000000000001</v>
      </c>
      <c r="AT4" s="67">
        <v>12.757</v>
      </c>
      <c r="AU4" s="67">
        <v>127.569</v>
      </c>
      <c r="AV4" s="67"/>
      <c r="AW4" s="67"/>
      <c r="AX4" s="67"/>
      <c r="AY4" s="67"/>
      <c r="AZ4" s="67"/>
      <c r="BA4" s="67"/>
      <c r="BB4" s="52">
        <f t="shared" si="0"/>
        <v>671.68500000000006</v>
      </c>
      <c r="BC4" s="52">
        <f t="shared" si="0"/>
        <v>9841.0709999999981</v>
      </c>
    </row>
    <row r="5" spans="1:55" ht="19.5" customHeight="1" x14ac:dyDescent="0.2">
      <c r="A5" s="8" t="s">
        <v>13</v>
      </c>
      <c r="B5" s="67"/>
      <c r="C5" s="67"/>
      <c r="D5" s="67"/>
      <c r="E5" s="67"/>
      <c r="F5" s="67">
        <v>13.866</v>
      </c>
      <c r="G5" s="67">
        <v>30.504999999999999</v>
      </c>
      <c r="H5" s="67"/>
      <c r="I5" s="67"/>
      <c r="J5" s="67">
        <v>5.8220000000000001</v>
      </c>
      <c r="K5" s="67">
        <v>17.466000000000001</v>
      </c>
      <c r="L5" s="67"/>
      <c r="M5" s="67"/>
      <c r="N5" s="67"/>
      <c r="O5" s="67"/>
      <c r="P5" s="67"/>
      <c r="Q5" s="67"/>
      <c r="R5" s="67"/>
      <c r="S5" s="67"/>
      <c r="T5" s="67"/>
      <c r="U5" s="67"/>
      <c r="V5" s="67">
        <v>3.0270000000000001</v>
      </c>
      <c r="W5" s="67">
        <v>4.54</v>
      </c>
      <c r="X5" s="67"/>
      <c r="Y5" s="67"/>
      <c r="Z5" s="67"/>
      <c r="AA5" s="67"/>
      <c r="AB5" s="67"/>
      <c r="AC5" s="67"/>
      <c r="AD5" s="67"/>
      <c r="AE5" s="67"/>
      <c r="AF5" s="68">
        <f>'Citrus11-12'!J5</f>
        <v>39.045999999999999</v>
      </c>
      <c r="AG5" s="68">
        <f>'Citrus11-12'!K5</f>
        <v>175.70699999999999</v>
      </c>
      <c r="AH5" s="67"/>
      <c r="AI5" s="67"/>
      <c r="AJ5" s="67"/>
      <c r="AK5" s="67"/>
      <c r="AL5" s="67"/>
      <c r="AM5" s="67"/>
      <c r="AN5" s="67">
        <v>11.925000000000001</v>
      </c>
      <c r="AO5" s="67">
        <v>66.78</v>
      </c>
      <c r="AP5" s="67"/>
      <c r="AQ5" s="67"/>
      <c r="AR5" s="67"/>
      <c r="AS5" s="67"/>
      <c r="AT5" s="67"/>
      <c r="AU5" s="67"/>
      <c r="AV5" s="67"/>
      <c r="AW5" s="67"/>
      <c r="AX5" s="67">
        <v>4.78</v>
      </c>
      <c r="AY5" s="67">
        <v>0.57299999999999995</v>
      </c>
      <c r="AZ5" s="67">
        <v>6.6440000000000001</v>
      </c>
      <c r="BA5" s="67">
        <v>13.288</v>
      </c>
      <c r="BB5" s="52">
        <f t="shared" si="0"/>
        <v>85.11</v>
      </c>
      <c r="BC5" s="52">
        <f t="shared" si="0"/>
        <v>308.85899999999998</v>
      </c>
    </row>
    <row r="6" spans="1:55" ht="19.5" customHeight="1" x14ac:dyDescent="0.2">
      <c r="A6" s="7" t="s">
        <v>14</v>
      </c>
      <c r="B6" s="67"/>
      <c r="C6" s="67"/>
      <c r="D6" s="67"/>
      <c r="E6" s="67"/>
      <c r="F6" s="67"/>
      <c r="G6" s="67"/>
      <c r="H6" s="67"/>
      <c r="I6" s="67"/>
      <c r="J6" s="67">
        <v>49.057000000000002</v>
      </c>
      <c r="K6" s="67">
        <v>745.27200000000005</v>
      </c>
      <c r="L6" s="67"/>
      <c r="M6" s="67"/>
      <c r="N6" s="67"/>
      <c r="O6" s="67"/>
      <c r="P6" s="67"/>
      <c r="Q6" s="67"/>
      <c r="R6" s="67">
        <v>4.9669999999999996</v>
      </c>
      <c r="S6" s="67">
        <v>99.265000000000001</v>
      </c>
      <c r="T6" s="67">
        <v>22.413</v>
      </c>
      <c r="U6" s="67">
        <v>204.01</v>
      </c>
      <c r="V6" s="67"/>
      <c r="W6" s="67"/>
      <c r="X6" s="67">
        <v>5.31</v>
      </c>
      <c r="Y6" s="67">
        <v>41.470999999999997</v>
      </c>
      <c r="Z6" s="67">
        <v>5.1349999999999998</v>
      </c>
      <c r="AA6" s="67">
        <v>51.334000000000003</v>
      </c>
      <c r="AB6" s="67">
        <v>8.4819999999999993</v>
      </c>
      <c r="AC6" s="67">
        <v>167.90100000000001</v>
      </c>
      <c r="AD6" s="67"/>
      <c r="AE6" s="67"/>
      <c r="AF6" s="68">
        <f>'Citrus11-12'!J6</f>
        <v>28.497999999999998</v>
      </c>
      <c r="AG6" s="68">
        <f>'Citrus11-12'!K6</f>
        <v>280.911</v>
      </c>
      <c r="AH6" s="67"/>
      <c r="AI6" s="67"/>
      <c r="AJ6" s="67"/>
      <c r="AK6" s="67"/>
      <c r="AL6" s="67"/>
      <c r="AM6" s="67"/>
      <c r="AN6" s="67">
        <v>14.792</v>
      </c>
      <c r="AO6" s="67">
        <v>231.429</v>
      </c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>
        <v>4.1059999999999999</v>
      </c>
      <c r="BA6" s="67">
        <v>30.178999999999998</v>
      </c>
      <c r="BB6" s="52">
        <f t="shared" si="0"/>
        <v>142.76</v>
      </c>
      <c r="BC6" s="52">
        <f t="shared" si="0"/>
        <v>1851.7720000000004</v>
      </c>
    </row>
    <row r="7" spans="1:55" ht="19.5" customHeight="1" x14ac:dyDescent="0.2">
      <c r="A7" s="7" t="s">
        <v>15</v>
      </c>
      <c r="B7" s="67"/>
      <c r="C7" s="67"/>
      <c r="D7" s="67">
        <v>1.6970000000000001</v>
      </c>
      <c r="E7" s="67">
        <v>16.007999999999999</v>
      </c>
      <c r="F7" s="67"/>
      <c r="G7" s="67"/>
      <c r="H7" s="67"/>
      <c r="I7" s="67"/>
      <c r="J7" s="67">
        <v>32.109000000000002</v>
      </c>
      <c r="K7" s="67">
        <v>1580.48</v>
      </c>
      <c r="L7" s="67">
        <v>0.45600000000000002</v>
      </c>
      <c r="M7" s="67">
        <v>2.548</v>
      </c>
      <c r="N7" s="67">
        <v>0.151</v>
      </c>
      <c r="O7" s="67">
        <v>0.71799999999999997</v>
      </c>
      <c r="P7" s="67"/>
      <c r="Q7" s="67"/>
      <c r="R7" s="67">
        <v>29.507999999999999</v>
      </c>
      <c r="S7" s="67">
        <v>245.178</v>
      </c>
      <c r="T7" s="67">
        <v>0.65600000000000003</v>
      </c>
      <c r="U7" s="67">
        <v>10.412000000000001</v>
      </c>
      <c r="V7" s="67"/>
      <c r="W7" s="67"/>
      <c r="X7" s="67">
        <v>31.097000000000001</v>
      </c>
      <c r="Y7" s="67">
        <v>236.42699999999999</v>
      </c>
      <c r="Z7" s="67">
        <v>147.506</v>
      </c>
      <c r="AA7" s="67">
        <v>1241.8030000000001</v>
      </c>
      <c r="AB7" s="67">
        <v>1.708</v>
      </c>
      <c r="AC7" s="67">
        <v>41.280999999999999</v>
      </c>
      <c r="AD7" s="67"/>
      <c r="AE7" s="67"/>
      <c r="AF7" s="68">
        <f>'Citrus11-12'!J7</f>
        <v>18.010000000000002</v>
      </c>
      <c r="AG7" s="68">
        <f>'Citrus11-12'!K7</f>
        <v>133.876</v>
      </c>
      <c r="AH7" s="67"/>
      <c r="AI7" s="67"/>
      <c r="AJ7" s="67"/>
      <c r="AK7" s="67"/>
      <c r="AL7" s="67"/>
      <c r="AM7" s="67"/>
      <c r="AN7" s="67">
        <v>4.9390000000000001</v>
      </c>
      <c r="AO7" s="67">
        <v>131.93700000000001</v>
      </c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>
        <v>31.401</v>
      </c>
      <c r="BA7" s="67">
        <v>305.71899999999999</v>
      </c>
      <c r="BB7" s="52">
        <f t="shared" si="0"/>
        <v>299.23800000000006</v>
      </c>
      <c r="BC7" s="52">
        <f t="shared" si="0"/>
        <v>3946.3870000000006</v>
      </c>
    </row>
    <row r="8" spans="1:55" ht="19.5" customHeight="1" x14ac:dyDescent="0.2">
      <c r="A8" s="7" t="s">
        <v>16</v>
      </c>
      <c r="D8" s="67">
        <v>2.67</v>
      </c>
      <c r="E8" s="67">
        <v>37.75</v>
      </c>
      <c r="F8" s="67"/>
      <c r="G8" s="67"/>
      <c r="H8" s="67"/>
      <c r="I8" s="67"/>
      <c r="J8" s="67">
        <v>16.399999999999999</v>
      </c>
      <c r="K8" s="67">
        <v>381.66</v>
      </c>
      <c r="L8" s="67">
        <v>4.6500000000000004</v>
      </c>
      <c r="M8" s="67">
        <v>82.36</v>
      </c>
      <c r="N8" s="67">
        <v>6.11</v>
      </c>
      <c r="O8" s="67">
        <v>23.78</v>
      </c>
      <c r="P8" s="67"/>
      <c r="Q8" s="67"/>
      <c r="R8" s="67">
        <v>15.56</v>
      </c>
      <c r="S8" s="67">
        <v>121.25</v>
      </c>
      <c r="T8" s="67">
        <v>6.82</v>
      </c>
      <c r="U8" s="67">
        <v>104.02</v>
      </c>
      <c r="V8" s="67"/>
      <c r="W8" s="67"/>
      <c r="X8" s="67">
        <v>4.47</v>
      </c>
      <c r="Y8" s="67">
        <v>27.08</v>
      </c>
      <c r="Z8" s="67">
        <v>56.71</v>
      </c>
      <c r="AA8" s="67">
        <v>271.47000000000003</v>
      </c>
      <c r="AB8" s="67">
        <v>11.04</v>
      </c>
      <c r="AC8" s="67">
        <v>268.31</v>
      </c>
      <c r="AD8" s="67"/>
      <c r="AE8" s="67"/>
      <c r="AF8" s="68">
        <f>'Citrus11-12'!J8</f>
        <v>11.53</v>
      </c>
      <c r="AG8" s="68">
        <f>'Citrus11-12'!K8</f>
        <v>74.91</v>
      </c>
      <c r="AH8" s="67"/>
      <c r="AI8" s="67"/>
      <c r="AJ8" s="67">
        <v>0.71</v>
      </c>
      <c r="AK8" s="67">
        <v>1.47</v>
      </c>
      <c r="AL8" s="67"/>
      <c r="AM8" s="67"/>
      <c r="AN8" s="67"/>
      <c r="AO8" s="67"/>
      <c r="AP8" s="67"/>
      <c r="AQ8" s="67"/>
      <c r="AR8" s="67">
        <v>0.11</v>
      </c>
      <c r="AS8" s="67">
        <v>0.31</v>
      </c>
      <c r="AT8" s="67">
        <v>0.22</v>
      </c>
      <c r="AU8" s="67">
        <v>0.77</v>
      </c>
      <c r="AV8" s="67"/>
      <c r="AW8" s="67"/>
      <c r="AX8" s="67"/>
      <c r="AY8" s="67"/>
      <c r="AZ8" s="67">
        <v>48.19</v>
      </c>
      <c r="BA8" s="67">
        <v>174.04</v>
      </c>
      <c r="BB8" s="52">
        <f t="shared" si="0"/>
        <v>185.19000000000003</v>
      </c>
      <c r="BC8" s="52">
        <f t="shared" si="0"/>
        <v>1569.18</v>
      </c>
    </row>
    <row r="9" spans="1:55" ht="19.5" customHeight="1" x14ac:dyDescent="0.2">
      <c r="A9" s="7" t="s">
        <v>17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8">
        <f>'Citrus11-12'!J9</f>
        <v>0</v>
      </c>
      <c r="AG9" s="68">
        <f>'Citrus11-12'!K9</f>
        <v>0</v>
      </c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52">
        <f t="shared" ref="BB9:BB36" si="1">B9+D9+F9+H9+J9+L9+N9+P9+R9+T9+V9+X9+Z9+AB9+AD9+AF9+AH9+AJ9+AL9+AN9+AP9+AR9+AT9+AV9+AX9+AZ9</f>
        <v>0</v>
      </c>
      <c r="BC9" s="52">
        <f t="shared" ref="BC9:BC36" si="2">C9+E9+G9+I9+K9+M9+O9+Q9+S9+U9+W9+Y9+AA9+AC9+AE9+AG9+AI9+AK9+AM9+AO9+AQ9+AS9+AU9+AW9+AY9+BA9</f>
        <v>0</v>
      </c>
    </row>
    <row r="10" spans="1:55" ht="19.5" customHeight="1" x14ac:dyDescent="0.2">
      <c r="A10" s="7" t="s">
        <v>18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8">
        <f>'Citrus11-12'!J10</f>
        <v>0</v>
      </c>
      <c r="AG10" s="68">
        <f>'Citrus11-12'!K10</f>
        <v>0</v>
      </c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52">
        <f t="shared" si="1"/>
        <v>0</v>
      </c>
      <c r="BC10" s="52">
        <f t="shared" si="2"/>
        <v>0</v>
      </c>
    </row>
    <row r="11" spans="1:55" ht="19.5" customHeight="1" x14ac:dyDescent="0.2">
      <c r="A11" s="7" t="s">
        <v>19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>
        <v>2.1999999999999999E-2</v>
      </c>
      <c r="S11" s="67">
        <v>0.432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>
        <f>'Citrus11-12'!J11</f>
        <v>1.7999999999999999E-2</v>
      </c>
      <c r="AG11" s="68">
        <f>'Citrus11-12'!K11</f>
        <v>0.27</v>
      </c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>
        <v>1.4999999999999999E-2</v>
      </c>
      <c r="BA11" s="67">
        <v>0.28499999999999998</v>
      </c>
      <c r="BB11" s="52">
        <f t="shared" si="1"/>
        <v>5.4999999999999993E-2</v>
      </c>
      <c r="BC11" s="52">
        <f t="shared" si="2"/>
        <v>0.98699999999999988</v>
      </c>
    </row>
    <row r="12" spans="1:55" ht="19.5" customHeight="1" x14ac:dyDescent="0.2">
      <c r="A12" s="7" t="s">
        <v>20</v>
      </c>
      <c r="B12" s="67"/>
      <c r="C12" s="67"/>
      <c r="D12" s="67"/>
      <c r="E12" s="67"/>
      <c r="F12" s="67"/>
      <c r="G12" s="67"/>
      <c r="H12" s="67"/>
      <c r="I12" s="67"/>
      <c r="J12" s="67">
        <v>2.2829999999999999</v>
      </c>
      <c r="K12" s="67">
        <v>25.824000000000002</v>
      </c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>
        <v>4.76</v>
      </c>
      <c r="AA12" s="67">
        <v>83.361000000000004</v>
      </c>
      <c r="AB12" s="67"/>
      <c r="AC12" s="67"/>
      <c r="AD12" s="67"/>
      <c r="AE12" s="67"/>
      <c r="AF12" s="68">
        <f>'Citrus11-12'!J12</f>
        <v>0</v>
      </c>
      <c r="AG12" s="68">
        <f>'Citrus11-12'!K12</f>
        <v>0</v>
      </c>
      <c r="AH12" s="67"/>
      <c r="AI12" s="67"/>
      <c r="AJ12" s="67"/>
      <c r="AK12" s="67"/>
      <c r="AL12" s="67"/>
      <c r="AM12" s="67"/>
      <c r="AN12" s="67">
        <v>0.27500000000000002</v>
      </c>
      <c r="AO12" s="67">
        <v>4.5620000000000003</v>
      </c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>
        <v>3.8069999999999999</v>
      </c>
      <c r="BA12" s="67">
        <v>40.924999999999997</v>
      </c>
      <c r="BB12" s="52">
        <f t="shared" si="1"/>
        <v>11.125</v>
      </c>
      <c r="BC12" s="52">
        <f t="shared" si="2"/>
        <v>154.672</v>
      </c>
    </row>
    <row r="13" spans="1:55" ht="19.5" customHeight="1" x14ac:dyDescent="0.2">
      <c r="A13" s="7" t="s">
        <v>21</v>
      </c>
      <c r="B13" s="67"/>
      <c r="C13" s="67"/>
      <c r="D13" s="67">
        <v>11.74</v>
      </c>
      <c r="E13" s="67">
        <v>112.31</v>
      </c>
      <c r="F13" s="67"/>
      <c r="G13" s="67"/>
      <c r="H13" s="67"/>
      <c r="I13" s="67"/>
      <c r="J13" s="67">
        <v>65.03</v>
      </c>
      <c r="K13" s="67">
        <v>4047.77</v>
      </c>
      <c r="L13" s="67"/>
      <c r="M13" s="67"/>
      <c r="N13" s="67">
        <v>5.13</v>
      </c>
      <c r="O13" s="67">
        <v>55.54</v>
      </c>
      <c r="P13" s="67"/>
      <c r="Q13" s="67"/>
      <c r="R13" s="67">
        <v>10.51</v>
      </c>
      <c r="S13" s="67">
        <v>156.34</v>
      </c>
      <c r="T13" s="67"/>
      <c r="U13" s="67"/>
      <c r="V13" s="67"/>
      <c r="W13" s="67"/>
      <c r="X13" s="67"/>
      <c r="Y13" s="67"/>
      <c r="Z13" s="67">
        <v>136.18</v>
      </c>
      <c r="AA13" s="67">
        <v>965.95</v>
      </c>
      <c r="AB13" s="67">
        <v>18.54</v>
      </c>
      <c r="AC13" s="67">
        <v>1060.9000000000001</v>
      </c>
      <c r="AD13" s="67"/>
      <c r="AE13" s="67"/>
      <c r="AF13" s="68">
        <f>'Citrus11-12'!J13</f>
        <v>40.17</v>
      </c>
      <c r="AG13" s="68">
        <f>'Citrus11-12'!K13</f>
        <v>425.1</v>
      </c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>
        <v>6.2</v>
      </c>
      <c r="AS13" s="67">
        <v>66.23</v>
      </c>
      <c r="AT13" s="67">
        <v>28.8</v>
      </c>
      <c r="AU13" s="67">
        <v>308.7</v>
      </c>
      <c r="AV13" s="67"/>
      <c r="AW13" s="67"/>
      <c r="AX13" s="67"/>
      <c r="AY13" s="67"/>
      <c r="AZ13" s="67">
        <v>31.43</v>
      </c>
      <c r="BA13" s="67">
        <v>323.58999999999997</v>
      </c>
      <c r="BB13" s="52">
        <f t="shared" si="1"/>
        <v>353.73</v>
      </c>
      <c r="BC13" s="52">
        <f t="shared" si="2"/>
        <v>7522.4299999999994</v>
      </c>
    </row>
    <row r="14" spans="1:55" ht="19.5" customHeight="1" x14ac:dyDescent="0.2">
      <c r="A14" s="7" t="s">
        <v>22</v>
      </c>
      <c r="B14" s="67"/>
      <c r="C14" s="67"/>
      <c r="D14" s="67">
        <v>1.87</v>
      </c>
      <c r="E14" s="67">
        <v>12.63</v>
      </c>
      <c r="F14" s="67"/>
      <c r="G14" s="67"/>
      <c r="H14" s="67"/>
      <c r="I14" s="67"/>
      <c r="J14" s="67"/>
      <c r="K14" s="67"/>
      <c r="L14" s="67">
        <v>4.2</v>
      </c>
      <c r="M14" s="67">
        <v>42.93</v>
      </c>
      <c r="N14" s="67"/>
      <c r="O14" s="67"/>
      <c r="P14" s="67">
        <v>0.05</v>
      </c>
      <c r="Q14" s="67">
        <v>0.7</v>
      </c>
      <c r="R14" s="67">
        <v>9.65</v>
      </c>
      <c r="S14" s="67">
        <v>87.05</v>
      </c>
      <c r="T14" s="67"/>
      <c r="U14" s="67"/>
      <c r="V14" s="67"/>
      <c r="W14" s="67"/>
      <c r="X14" s="67">
        <v>0.19</v>
      </c>
      <c r="Y14" s="67">
        <v>0.59</v>
      </c>
      <c r="Z14" s="67">
        <v>8.7899999999999991</v>
      </c>
      <c r="AA14" s="67">
        <v>77.36</v>
      </c>
      <c r="AB14" s="67"/>
      <c r="AC14" s="67"/>
      <c r="AD14" s="67"/>
      <c r="AE14" s="67"/>
      <c r="AF14" s="68">
        <f>'Citrus11-12'!J14</f>
        <v>17.66</v>
      </c>
      <c r="AG14" s="68">
        <f>'Citrus11-12'!K14</f>
        <v>214.17</v>
      </c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>
        <v>1.34</v>
      </c>
      <c r="AU14" s="67">
        <v>5.05</v>
      </c>
      <c r="AV14" s="67"/>
      <c r="AW14" s="67"/>
      <c r="AX14" s="67"/>
      <c r="AY14" s="67"/>
      <c r="AZ14" s="67">
        <f>0.71+2.57</f>
        <v>3.28</v>
      </c>
      <c r="BA14" s="67">
        <f>5+31.07</f>
        <v>36.07</v>
      </c>
      <c r="BB14" s="52">
        <f t="shared" si="1"/>
        <v>47.03</v>
      </c>
      <c r="BC14" s="52">
        <f t="shared" si="2"/>
        <v>476.54999999999995</v>
      </c>
    </row>
    <row r="15" spans="1:55" ht="19.5" customHeight="1" x14ac:dyDescent="0.2">
      <c r="A15" s="7" t="s">
        <v>23</v>
      </c>
      <c r="B15" s="67">
        <v>5.5430000000000001</v>
      </c>
      <c r="C15" s="67">
        <v>1.069</v>
      </c>
      <c r="D15" s="67">
        <v>2.069</v>
      </c>
      <c r="E15" s="67">
        <v>1.861</v>
      </c>
      <c r="F15" s="67">
        <v>103.64400000000001</v>
      </c>
      <c r="G15" s="67">
        <v>275.036</v>
      </c>
      <c r="H15" s="67"/>
      <c r="I15" s="67"/>
      <c r="J15" s="67">
        <v>9.9000000000000005E-2</v>
      </c>
      <c r="K15" s="67">
        <v>0.31</v>
      </c>
      <c r="L15" s="67">
        <v>3.5999999999999997E-2</v>
      </c>
      <c r="M15" s="67">
        <v>7.0000000000000001E-3</v>
      </c>
      <c r="N15" s="67"/>
      <c r="O15" s="67"/>
      <c r="P15" s="67">
        <v>0.114</v>
      </c>
      <c r="Q15" s="67">
        <v>0.13600000000000001</v>
      </c>
      <c r="R15" s="67">
        <v>2.2370000000000001</v>
      </c>
      <c r="S15" s="67">
        <v>2.6419999999999999</v>
      </c>
      <c r="T15" s="67">
        <v>0.65100000000000002</v>
      </c>
      <c r="U15" s="67">
        <v>0.44600000000000001</v>
      </c>
      <c r="V15" s="67">
        <v>0.12</v>
      </c>
      <c r="W15" s="67">
        <v>0.15</v>
      </c>
      <c r="X15" s="67">
        <v>4.5720000000000001</v>
      </c>
      <c r="Y15" s="67">
        <v>2.98</v>
      </c>
      <c r="Z15" s="67">
        <v>39.567999999999998</v>
      </c>
      <c r="AA15" s="67">
        <v>28.972000000000001</v>
      </c>
      <c r="AB15" s="67">
        <v>0.216</v>
      </c>
      <c r="AC15" s="67">
        <v>1.0329999999999999</v>
      </c>
      <c r="AD15" s="67"/>
      <c r="AE15" s="67"/>
      <c r="AF15" s="68">
        <f>'Citrus11-12'!J15</f>
        <v>22.396000000000001</v>
      </c>
      <c r="AG15" s="68">
        <f>'Citrus11-12'!K15</f>
        <v>25.036999999999999</v>
      </c>
      <c r="AH15" s="67">
        <v>5.181</v>
      </c>
      <c r="AI15" s="67">
        <v>5.101</v>
      </c>
      <c r="AJ15" s="67">
        <v>7.3330000000000002</v>
      </c>
      <c r="AK15" s="67">
        <v>11.76</v>
      </c>
      <c r="AL15" s="67"/>
      <c r="AM15" s="67"/>
      <c r="AN15" s="67"/>
      <c r="AO15" s="67"/>
      <c r="AP15" s="67">
        <v>8.5299999999999994</v>
      </c>
      <c r="AQ15" s="67">
        <v>9.8420000000000005</v>
      </c>
      <c r="AR15" s="67">
        <v>1.7090000000000001</v>
      </c>
      <c r="AS15" s="67">
        <v>0.749</v>
      </c>
      <c r="AT15" s="67">
        <v>5.8999999999999997E-2</v>
      </c>
      <c r="AU15" s="67">
        <v>6.0000000000000001E-3</v>
      </c>
      <c r="AV15" s="67">
        <v>5.3999999999999999E-2</v>
      </c>
      <c r="AW15" s="67">
        <v>0.28399999999999997</v>
      </c>
      <c r="AX15" s="67">
        <v>4.6070000000000002</v>
      </c>
      <c r="AY15" s="67">
        <v>1.242</v>
      </c>
      <c r="AZ15" s="67">
        <f>3.556+2.28</f>
        <v>5.8360000000000003</v>
      </c>
      <c r="BA15" s="67">
        <f>2.437+1.723</f>
        <v>4.16</v>
      </c>
      <c r="BB15" s="52">
        <f t="shared" si="1"/>
        <v>214.57400000000007</v>
      </c>
      <c r="BC15" s="52">
        <f t="shared" si="2"/>
        <v>372.82300000000004</v>
      </c>
    </row>
    <row r="16" spans="1:55" ht="19.5" customHeight="1" x14ac:dyDescent="0.2">
      <c r="A16" s="7" t="s">
        <v>24</v>
      </c>
      <c r="B16" s="66">
        <f>16.418+0.429</f>
        <v>16.846999999999998</v>
      </c>
      <c r="C16" s="66">
        <f>3.258+0.01517</f>
        <v>3.2731699999999999</v>
      </c>
      <c r="D16" s="67">
        <f>1.466+1.46596</f>
        <v>2.9319600000000001</v>
      </c>
      <c r="E16" s="67">
        <f>1.248+1.2481</f>
        <v>2.4961000000000002</v>
      </c>
      <c r="F16" s="67">
        <f>154.72+15.8824</f>
        <v>170.60239999999999</v>
      </c>
      <c r="G16" s="67">
        <f>1756.192+18.844</f>
        <v>1775.0360000000001</v>
      </c>
      <c r="H16" s="67"/>
      <c r="I16" s="67"/>
      <c r="J16" s="67"/>
      <c r="K16" s="67"/>
      <c r="L16" s="67">
        <f>7.852+7.85187</f>
        <v>15.70387</v>
      </c>
      <c r="M16" s="67">
        <f>13.074+13.074</f>
        <v>26.148</v>
      </c>
      <c r="N16" s="67"/>
      <c r="O16" s="67"/>
      <c r="P16" s="67">
        <f>0.15004+0.329</f>
        <v>0.47904000000000002</v>
      </c>
      <c r="Q16" s="67">
        <f>0.803+0.204</f>
        <v>1.0070000000000001</v>
      </c>
      <c r="R16" s="67">
        <f>2.342+2.34249</f>
        <v>4.6844900000000003</v>
      </c>
      <c r="S16" s="67">
        <f>5.608+5.6077</f>
        <v>11.2157</v>
      </c>
      <c r="T16" s="67"/>
      <c r="U16" s="67"/>
      <c r="V16" s="67">
        <f>0.045+0.01513</f>
        <v>6.0129999999999996E-2</v>
      </c>
      <c r="W16" s="67">
        <f>0.002+0.0016</f>
        <v>3.5999999999999999E-3</v>
      </c>
      <c r="X16" s="67">
        <f>0.631+0.63129</f>
        <v>1.2622900000000001</v>
      </c>
      <c r="Y16" s="67">
        <f>1.767+1.76673</f>
        <v>3.5337299999999998</v>
      </c>
      <c r="Z16" s="67">
        <f>12.306+12.29482</f>
        <v>24.600819999999999</v>
      </c>
      <c r="AA16" s="67">
        <f>22.86+22.85948</f>
        <v>45.719480000000004</v>
      </c>
      <c r="AB16" s="67"/>
      <c r="AC16" s="67"/>
      <c r="AD16" s="67"/>
      <c r="AE16" s="67"/>
      <c r="AF16" s="68">
        <f>'Citrus11-12'!J16</f>
        <v>27.286809999999999</v>
      </c>
      <c r="AG16" s="68">
        <f>'Citrus11-12'!K16</f>
        <v>39.28895</v>
      </c>
      <c r="AH16" s="67">
        <f>2.51+1.82746</f>
        <v>4.3374600000000001</v>
      </c>
      <c r="AI16" s="67">
        <f>3.91+1.988</f>
        <v>5.8979999999999997</v>
      </c>
      <c r="AJ16" s="67">
        <f>13.218+6.57455</f>
        <v>19.792549999999999</v>
      </c>
      <c r="AK16" s="67">
        <f>47.82+16.397</f>
        <v>64.216999999999999</v>
      </c>
      <c r="AL16" s="67">
        <v>0.55110000000000003</v>
      </c>
      <c r="AM16" s="67">
        <v>1.0059999999999999E-2</v>
      </c>
      <c r="AN16" s="67"/>
      <c r="AO16" s="67"/>
      <c r="AP16" s="67">
        <f>2.48728+4.341</f>
        <v>6.8282800000000003</v>
      </c>
      <c r="AQ16" s="67">
        <f>8.102+2.242</f>
        <v>10.344000000000001</v>
      </c>
      <c r="AR16" s="67">
        <v>6.0000000000000001E-3</v>
      </c>
      <c r="AS16" s="67">
        <v>3.5999999999999997E-2</v>
      </c>
      <c r="AT16" s="67"/>
      <c r="AU16" s="67"/>
      <c r="AV16" s="67">
        <v>1.4E-2</v>
      </c>
      <c r="AW16" s="67">
        <v>1.2E-2</v>
      </c>
      <c r="AX16" s="67">
        <f>83.613+36.8588</f>
        <v>120.4718</v>
      </c>
      <c r="AY16" s="67">
        <f>208.738+52.04485</f>
        <v>260.78285</v>
      </c>
      <c r="AZ16" s="67">
        <f>6.051+2.758+23.274+0.0275+0.42253+0.02468+6.724</f>
        <v>39.281710000000004</v>
      </c>
      <c r="BA16" s="67">
        <f>10.31+57.695+2.026+0.015+0.0209+0.01335+10.786</f>
        <v>80.866249999999994</v>
      </c>
      <c r="BB16" s="52">
        <f t="shared" si="1"/>
        <v>455.74171000000001</v>
      </c>
      <c r="BC16" s="52">
        <f t="shared" si="2"/>
        <v>2329.8878900000004</v>
      </c>
    </row>
    <row r="17" spans="1:55" ht="19.5" customHeight="1" x14ac:dyDescent="0.2">
      <c r="A17" s="7" t="s">
        <v>25</v>
      </c>
      <c r="B17" s="67"/>
      <c r="C17" s="67"/>
      <c r="D17" s="67">
        <v>7.3289999999999997</v>
      </c>
      <c r="E17" s="67">
        <v>32.979999999999997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>
        <v>7.91</v>
      </c>
      <c r="S17" s="67">
        <v>94.927999999999997</v>
      </c>
      <c r="T17" s="67"/>
      <c r="U17" s="67"/>
      <c r="V17" s="67"/>
      <c r="W17" s="67"/>
      <c r="X17" s="67">
        <v>4.7949999999999999</v>
      </c>
      <c r="Y17" s="67">
        <v>57.543999999999997</v>
      </c>
      <c r="Z17" s="67">
        <v>50.298999999999999</v>
      </c>
      <c r="AA17" s="67">
        <v>515.56600000000003</v>
      </c>
      <c r="AB17" s="67"/>
      <c r="AC17" s="67"/>
      <c r="AD17" s="67"/>
      <c r="AE17" s="67"/>
      <c r="AF17" s="68">
        <f>'Citrus11-12'!J17</f>
        <v>8.31</v>
      </c>
      <c r="AG17" s="68">
        <f>'Citrus11-12'!K17</f>
        <v>86.430999999999997</v>
      </c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>
        <v>5.1219999999999999</v>
      </c>
      <c r="BA17" s="67">
        <v>62.755000000000003</v>
      </c>
      <c r="BB17" s="52">
        <f t="shared" si="1"/>
        <v>83.765000000000001</v>
      </c>
      <c r="BC17" s="52">
        <f t="shared" si="2"/>
        <v>850.20400000000006</v>
      </c>
    </row>
    <row r="18" spans="1:55" ht="19.5" customHeight="1" x14ac:dyDescent="0.2">
      <c r="A18" s="7" t="s">
        <v>26</v>
      </c>
      <c r="B18" s="37"/>
      <c r="C18" s="37"/>
      <c r="D18" s="37"/>
      <c r="E18" s="37"/>
      <c r="F18" s="37"/>
      <c r="G18" s="37"/>
      <c r="H18" s="37"/>
      <c r="I18" s="37"/>
      <c r="J18" s="37">
        <v>91.6</v>
      </c>
      <c r="K18" s="37">
        <v>2351.5</v>
      </c>
      <c r="L18" s="37">
        <v>0.9</v>
      </c>
      <c r="M18" s="37">
        <v>25.1</v>
      </c>
      <c r="N18" s="37">
        <v>1.7</v>
      </c>
      <c r="O18" s="37">
        <v>13.2</v>
      </c>
      <c r="P18" s="37">
        <v>16.8</v>
      </c>
      <c r="Q18" s="37">
        <v>288.10000000000002</v>
      </c>
      <c r="R18" s="37">
        <v>7.1</v>
      </c>
      <c r="S18" s="37">
        <v>135.1</v>
      </c>
      <c r="T18" s="37">
        <v>5.6</v>
      </c>
      <c r="U18" s="37">
        <v>210.3</v>
      </c>
      <c r="V18" s="37"/>
      <c r="W18" s="37"/>
      <c r="X18" s="37"/>
      <c r="Y18" s="37"/>
      <c r="Z18" s="37">
        <v>172.4</v>
      </c>
      <c r="AA18" s="37">
        <v>1868.3</v>
      </c>
      <c r="AB18" s="37">
        <v>6.1</v>
      </c>
      <c r="AC18" s="37">
        <v>439.4</v>
      </c>
      <c r="AD18" s="37"/>
      <c r="AE18" s="37"/>
      <c r="AF18" s="68">
        <f>'Citrus11-12'!J18</f>
        <v>18.3</v>
      </c>
      <c r="AG18" s="68">
        <f>'Citrus11-12'!K18</f>
        <v>400.59999999999997</v>
      </c>
      <c r="AH18" s="37"/>
      <c r="AI18" s="37"/>
      <c r="AJ18" s="37"/>
      <c r="AK18" s="37"/>
      <c r="AL18" s="37"/>
      <c r="AM18" s="37"/>
      <c r="AN18" s="37">
        <v>2.2999999999999998</v>
      </c>
      <c r="AO18" s="37">
        <v>133.9</v>
      </c>
      <c r="AP18" s="37"/>
      <c r="AQ18" s="37"/>
      <c r="AR18" s="37">
        <v>15.1</v>
      </c>
      <c r="AS18" s="37">
        <v>151.69999999999999</v>
      </c>
      <c r="AT18" s="37">
        <v>30.6</v>
      </c>
      <c r="AU18" s="37">
        <v>377.3</v>
      </c>
      <c r="AV18" s="37"/>
      <c r="AW18" s="37"/>
      <c r="AX18" s="37"/>
      <c r="AY18" s="37"/>
      <c r="AZ18" s="37">
        <v>3.3</v>
      </c>
      <c r="BA18" s="37">
        <v>33.6</v>
      </c>
      <c r="BB18" s="52">
        <f>B18+D18+F18+H18+J18+L18+N18+P18+R18+T18+V18+X18+Z18+AB18+AD18+AF18+AH18+AJ18+AL18+AN18+AP18+AR18+AT18+AV18+AX18+AZ18</f>
        <v>371.80000000000013</v>
      </c>
      <c r="BC18" s="52">
        <f>C18+E18+G18+I18+K18+M18+O18+Q18+S18+U18+W18+Y18+AA18+AC18+AE18+AG18+AI18+AK18+AM18+AO18+AQ18+AS18+AU18+AW18+AY18+BA18</f>
        <v>6428.0999999999995</v>
      </c>
    </row>
    <row r="19" spans="1:55" ht="19.5" customHeight="1" x14ac:dyDescent="0.2">
      <c r="A19" s="7" t="s">
        <v>27</v>
      </c>
      <c r="B19" s="67"/>
      <c r="C19" s="67"/>
      <c r="D19" s="67"/>
      <c r="E19" s="67"/>
      <c r="F19" s="67"/>
      <c r="G19" s="67"/>
      <c r="H19" s="67"/>
      <c r="I19" s="67"/>
      <c r="J19" s="67">
        <v>52.45</v>
      </c>
      <c r="K19" s="67">
        <v>419.49</v>
      </c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>
        <v>63.750999999999998</v>
      </c>
      <c r="AA19" s="67">
        <v>373.16800000000001</v>
      </c>
      <c r="AB19" s="67">
        <v>16.010000000000002</v>
      </c>
      <c r="AC19" s="67">
        <v>98.6</v>
      </c>
      <c r="AD19" s="67"/>
      <c r="AE19" s="67"/>
      <c r="AF19" s="68">
        <f>'Citrus11-12'!J19</f>
        <v>0</v>
      </c>
      <c r="AG19" s="68">
        <f>'Citrus11-12'!K19</f>
        <v>0</v>
      </c>
      <c r="AH19" s="67"/>
      <c r="AI19" s="67"/>
      <c r="AJ19" s="67"/>
      <c r="AK19" s="67"/>
      <c r="AL19" s="67"/>
      <c r="AM19" s="67"/>
      <c r="AN19" s="67">
        <v>9.827</v>
      </c>
      <c r="AO19" s="67">
        <v>80.777000000000001</v>
      </c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>
        <v>154.1</v>
      </c>
      <c r="BA19" s="67">
        <v>1457.5</v>
      </c>
      <c r="BB19" s="52">
        <f t="shared" si="1"/>
        <v>296.13799999999998</v>
      </c>
      <c r="BC19" s="52">
        <f t="shared" si="2"/>
        <v>2429.5349999999999</v>
      </c>
    </row>
    <row r="20" spans="1:55" ht="19.5" customHeight="1" x14ac:dyDescent="0.2">
      <c r="A20" s="7" t="s">
        <v>28</v>
      </c>
      <c r="B20" s="37"/>
      <c r="C20" s="37"/>
      <c r="D20" s="37"/>
      <c r="E20" s="37"/>
      <c r="F20" s="37"/>
      <c r="G20" s="37"/>
      <c r="H20" s="37"/>
      <c r="I20" s="37"/>
      <c r="J20" s="37">
        <v>0.13</v>
      </c>
      <c r="K20" s="37">
        <v>0.28000000000000003</v>
      </c>
      <c r="L20" s="37"/>
      <c r="M20" s="37"/>
      <c r="N20" s="37"/>
      <c r="O20" s="37"/>
      <c r="P20" s="37"/>
      <c r="Q20" s="37"/>
      <c r="R20" s="37">
        <v>1.2E-2</v>
      </c>
      <c r="S20" s="37">
        <v>2.3650000000000001E-2</v>
      </c>
      <c r="T20" s="37"/>
      <c r="U20" s="37"/>
      <c r="V20" s="37"/>
      <c r="W20" s="37"/>
      <c r="X20" s="37"/>
      <c r="Y20" s="37"/>
      <c r="Z20" s="37"/>
      <c r="AA20" s="37"/>
      <c r="AB20" s="37">
        <v>2.5000000000000001E-2</v>
      </c>
      <c r="AC20" s="37">
        <v>4.0500000000000001E-2</v>
      </c>
      <c r="AD20" s="37"/>
      <c r="AE20" s="37"/>
      <c r="AF20" s="38">
        <f>'Citrus11-12'!J20</f>
        <v>0</v>
      </c>
      <c r="AG20" s="38">
        <f>'Citrus11-12'!K20</f>
        <v>0</v>
      </c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>
        <v>5.0000000000000001E-3</v>
      </c>
      <c r="AS20" s="37">
        <v>4.4999999999999997E-3</v>
      </c>
      <c r="AT20" s="37">
        <v>0.01</v>
      </c>
      <c r="AU20" s="37">
        <v>0.02</v>
      </c>
      <c r="AV20" s="37"/>
      <c r="AW20" s="37"/>
      <c r="AX20" s="37"/>
      <c r="AY20" s="37"/>
      <c r="AZ20" s="37">
        <v>0.04</v>
      </c>
      <c r="BA20" s="37">
        <v>0.06</v>
      </c>
      <c r="BB20" s="52">
        <f t="shared" si="1"/>
        <v>0.22200000000000003</v>
      </c>
      <c r="BC20" s="52">
        <f t="shared" si="2"/>
        <v>0.42865000000000003</v>
      </c>
    </row>
    <row r="21" spans="1:55" ht="19.5" customHeight="1" x14ac:dyDescent="0.2">
      <c r="A21" s="7" t="s">
        <v>29</v>
      </c>
      <c r="B21" s="67"/>
      <c r="C21" s="67"/>
      <c r="D21" s="67">
        <v>11.534000000000001</v>
      </c>
      <c r="E21" s="67">
        <v>127.45099999999999</v>
      </c>
      <c r="F21" s="67"/>
      <c r="G21" s="67"/>
      <c r="H21" s="67"/>
      <c r="I21" s="67"/>
      <c r="J21" s="67">
        <v>24.783000000000001</v>
      </c>
      <c r="K21" s="67">
        <v>1379.174</v>
      </c>
      <c r="L21" s="67">
        <v>2.1819999999999999</v>
      </c>
      <c r="M21" s="67">
        <v>24.765999999999998</v>
      </c>
      <c r="N21" s="67"/>
      <c r="O21" s="67"/>
      <c r="R21" s="67">
        <v>16.45</v>
      </c>
      <c r="S21" s="67">
        <v>255.304</v>
      </c>
      <c r="T21" s="67">
        <v>1.2490000000000001</v>
      </c>
      <c r="U21" s="67">
        <v>13.851000000000001</v>
      </c>
      <c r="V21" s="67"/>
      <c r="W21" s="67"/>
      <c r="X21" s="67"/>
      <c r="Y21" s="67"/>
      <c r="Z21" s="67">
        <v>18.332000000000001</v>
      </c>
      <c r="AA21" s="67">
        <v>175.071</v>
      </c>
      <c r="AB21" s="67">
        <v>10.362</v>
      </c>
      <c r="AC21" s="67">
        <v>274.904</v>
      </c>
      <c r="AD21" s="67"/>
      <c r="AE21" s="67"/>
      <c r="AF21" s="68">
        <f>'Citrus11-12'!J21</f>
        <v>55.178000000000004</v>
      </c>
      <c r="AG21" s="68">
        <f>'Citrus11-12'!K21</f>
        <v>795.02800000000002</v>
      </c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>
        <v>2.6219999999999999</v>
      </c>
      <c r="AS21" s="67">
        <v>27.530999999999999</v>
      </c>
      <c r="AT21" s="67"/>
      <c r="AU21" s="67"/>
      <c r="AV21" s="67"/>
      <c r="AW21" s="67"/>
      <c r="AX21" s="67"/>
      <c r="AY21" s="67"/>
      <c r="AZ21" s="67">
        <f>0.061+16.821</f>
        <v>16.882000000000001</v>
      </c>
      <c r="BA21" s="67">
        <f>0.28+317.917</f>
        <v>318.19699999999995</v>
      </c>
      <c r="BB21" s="52">
        <f t="shared" si="1"/>
        <v>159.57400000000001</v>
      </c>
      <c r="BC21" s="52">
        <f t="shared" si="2"/>
        <v>3391.277</v>
      </c>
    </row>
    <row r="22" spans="1:55" ht="19.5" customHeight="1" x14ac:dyDescent="0.2">
      <c r="A22" s="7" t="s">
        <v>30</v>
      </c>
      <c r="B22" s="67"/>
      <c r="C22" s="67"/>
      <c r="D22" s="67"/>
      <c r="E22" s="67"/>
      <c r="F22" s="67"/>
      <c r="G22" s="67"/>
      <c r="H22" s="67"/>
      <c r="I22" s="67"/>
      <c r="J22" s="67">
        <v>82</v>
      </c>
      <c r="K22" s="67">
        <v>4315</v>
      </c>
      <c r="L22" s="67"/>
      <c r="M22" s="67"/>
      <c r="N22" s="67"/>
      <c r="O22" s="67"/>
      <c r="P22" s="67">
        <v>92</v>
      </c>
      <c r="Q22" s="67">
        <v>1810</v>
      </c>
      <c r="R22" s="67">
        <v>37</v>
      </c>
      <c r="S22" s="67">
        <v>322</v>
      </c>
      <c r="T22" s="67"/>
      <c r="U22" s="67"/>
      <c r="V22" s="67"/>
      <c r="W22" s="67"/>
      <c r="X22" s="67"/>
      <c r="Y22" s="67"/>
      <c r="Z22" s="67">
        <v>482</v>
      </c>
      <c r="AA22" s="67">
        <v>503</v>
      </c>
      <c r="AB22" s="67">
        <v>9</v>
      </c>
      <c r="AC22" s="67">
        <v>327</v>
      </c>
      <c r="AD22" s="67"/>
      <c r="AE22" s="67"/>
      <c r="AF22" s="68">
        <f>'Citrus11-12'!J22</f>
        <v>285</v>
      </c>
      <c r="AG22" s="68">
        <f>'Citrus11-12'!K22</f>
        <v>1268</v>
      </c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>
        <v>82</v>
      </c>
      <c r="AS22" s="67">
        <v>478</v>
      </c>
      <c r="AT22" s="67">
        <v>73</v>
      </c>
      <c r="AU22" s="67">
        <v>298</v>
      </c>
      <c r="AV22" s="67"/>
      <c r="AW22" s="67"/>
      <c r="AX22" s="67"/>
      <c r="AY22" s="67"/>
      <c r="AZ22" s="67">
        <v>418</v>
      </c>
      <c r="BA22" s="67">
        <v>1217</v>
      </c>
      <c r="BB22" s="52">
        <f t="shared" si="1"/>
        <v>1560</v>
      </c>
      <c r="BC22" s="52">
        <f t="shared" si="2"/>
        <v>10538</v>
      </c>
    </row>
    <row r="23" spans="1:55" ht="19.5" customHeight="1" x14ac:dyDescent="0.2">
      <c r="A23" s="25" t="s">
        <v>31</v>
      </c>
      <c r="B23" s="67"/>
      <c r="C23" s="67"/>
      <c r="D23" s="67"/>
      <c r="E23" s="67"/>
      <c r="F23" s="67"/>
      <c r="G23" s="67"/>
      <c r="H23" s="67"/>
      <c r="I23" s="67"/>
      <c r="J23" s="67">
        <v>6.28</v>
      </c>
      <c r="K23" s="67">
        <v>81.94</v>
      </c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>
        <v>8.8699999999999992</v>
      </c>
      <c r="AE23" s="67">
        <v>77.66</v>
      </c>
      <c r="AF23" s="68">
        <f>'Citrus11-12'!J23</f>
        <v>9.67</v>
      </c>
      <c r="AG23" s="68">
        <f>'Citrus11-12'!K23</f>
        <v>63.370000000000005</v>
      </c>
      <c r="AH23" s="67"/>
      <c r="AI23" s="67"/>
      <c r="AJ23" s="67"/>
      <c r="AK23" s="67"/>
      <c r="AL23" s="67"/>
      <c r="AM23" s="67"/>
      <c r="AN23" s="67">
        <v>12.6</v>
      </c>
      <c r="AO23" s="67">
        <v>116.57</v>
      </c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>
        <v>12.05</v>
      </c>
      <c r="BA23" s="67">
        <v>66.31</v>
      </c>
      <c r="BB23" s="52">
        <f t="shared" si="1"/>
        <v>49.47</v>
      </c>
      <c r="BC23" s="52">
        <f t="shared" si="2"/>
        <v>405.84999999999997</v>
      </c>
    </row>
    <row r="24" spans="1:55" ht="19.5" customHeight="1" x14ac:dyDescent="0.2">
      <c r="A24" s="7" t="s">
        <v>32</v>
      </c>
      <c r="B24" s="67"/>
      <c r="C24" s="67"/>
      <c r="D24" s="67"/>
      <c r="E24" s="67"/>
      <c r="F24" s="67"/>
      <c r="G24" s="67"/>
      <c r="H24" s="67"/>
      <c r="I24" s="67"/>
      <c r="J24" s="67">
        <v>6.82</v>
      </c>
      <c r="K24" s="67">
        <v>82.412999999999997</v>
      </c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>
        <v>0.65800000000000003</v>
      </c>
      <c r="AC24" s="67">
        <v>5.0110000000000001</v>
      </c>
      <c r="AD24" s="67"/>
      <c r="AE24" s="67"/>
      <c r="AF24" s="68">
        <f>'Citrus11-12'!J24</f>
        <v>9.7050000000000001</v>
      </c>
      <c r="AG24" s="68">
        <f>'Citrus11-12'!K24</f>
        <v>43.01</v>
      </c>
      <c r="AH24" s="67"/>
      <c r="AI24" s="67"/>
      <c r="AJ24" s="67"/>
      <c r="AK24" s="67"/>
      <c r="AL24" s="67"/>
      <c r="AM24" s="67"/>
      <c r="AN24" s="67">
        <v>10.643000000000001</v>
      </c>
      <c r="AO24" s="67">
        <v>112.9</v>
      </c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>
        <f>3.4+1.08</f>
        <v>4.4800000000000004</v>
      </c>
      <c r="BA24" s="67">
        <f>50.04+7.05</f>
        <v>57.089999999999996</v>
      </c>
      <c r="BB24" s="52">
        <f t="shared" si="1"/>
        <v>32.305999999999997</v>
      </c>
      <c r="BC24" s="52">
        <f t="shared" si="2"/>
        <v>300.42399999999998</v>
      </c>
    </row>
    <row r="25" spans="1:55" ht="19.5" customHeight="1" x14ac:dyDescent="0.2">
      <c r="A25" s="7" t="s">
        <v>33</v>
      </c>
      <c r="B25" s="67"/>
      <c r="C25" s="67"/>
      <c r="D25" s="67">
        <v>0.21</v>
      </c>
      <c r="E25" s="67">
        <v>0.89</v>
      </c>
      <c r="F25" s="67"/>
      <c r="G25" s="67"/>
      <c r="H25" s="67"/>
      <c r="I25" s="67"/>
      <c r="J25" s="67">
        <v>10.09</v>
      </c>
      <c r="K25" s="67">
        <v>119.06</v>
      </c>
      <c r="L25" s="67"/>
      <c r="M25" s="67"/>
      <c r="N25" s="67">
        <v>3.0000000000000001E-3</v>
      </c>
      <c r="O25" s="67">
        <v>1.2E-2</v>
      </c>
      <c r="P25" s="67">
        <v>1.88</v>
      </c>
      <c r="Q25" s="67">
        <v>24.3</v>
      </c>
      <c r="R25" s="67">
        <v>0.4</v>
      </c>
      <c r="S25" s="67">
        <v>2.4</v>
      </c>
      <c r="T25" s="67">
        <v>0.05</v>
      </c>
      <c r="U25" s="67">
        <v>2.5</v>
      </c>
      <c r="V25" s="67">
        <v>7.0000000000000007E-2</v>
      </c>
      <c r="W25" s="67">
        <v>0.24</v>
      </c>
      <c r="X25" s="67">
        <v>0.4</v>
      </c>
      <c r="Y25" s="67">
        <v>1.68</v>
      </c>
      <c r="Z25" s="67">
        <v>0.65</v>
      </c>
      <c r="AA25" s="67">
        <v>3.1</v>
      </c>
      <c r="AB25" s="67">
        <v>0.85</v>
      </c>
      <c r="AC25" s="67">
        <v>18.190000000000001</v>
      </c>
      <c r="AD25" s="67">
        <v>0.45</v>
      </c>
      <c r="AE25" s="67">
        <v>0.9</v>
      </c>
      <c r="AF25" s="68">
        <f>'Citrus11-12'!J25</f>
        <v>16.59</v>
      </c>
      <c r="AG25" s="68">
        <f>'Citrus11-12'!K25</f>
        <v>57.09</v>
      </c>
      <c r="AH25" s="67">
        <v>0.05</v>
      </c>
      <c r="AI25" s="67">
        <v>0.4</v>
      </c>
      <c r="AJ25" s="67"/>
      <c r="AK25" s="67"/>
      <c r="AL25" s="67"/>
      <c r="AM25" s="67"/>
      <c r="AN25" s="67">
        <v>2.72</v>
      </c>
      <c r="AO25" s="67">
        <v>19.649999999999999</v>
      </c>
      <c r="AP25" s="67">
        <v>0.11</v>
      </c>
      <c r="AQ25" s="67">
        <v>1.0900000000000001</v>
      </c>
      <c r="AR25" s="67">
        <v>6.0000000000000001E-3</v>
      </c>
      <c r="AS25" s="67">
        <v>0.05</v>
      </c>
      <c r="AT25" s="67">
        <v>4.0000000000000001E-3</v>
      </c>
      <c r="AU25" s="67">
        <v>0.02</v>
      </c>
      <c r="AV25" s="67"/>
      <c r="AW25" s="67"/>
      <c r="AX25" s="67"/>
      <c r="AY25" s="67"/>
      <c r="AZ25" s="67">
        <f>0.3+0.007+8.84</f>
        <v>9.1470000000000002</v>
      </c>
      <c r="BA25" s="67">
        <f>4.8+0.03+19.31</f>
        <v>24.14</v>
      </c>
      <c r="BB25" s="52">
        <f t="shared" si="1"/>
        <v>43.68</v>
      </c>
      <c r="BC25" s="52">
        <f t="shared" si="2"/>
        <v>275.71200000000005</v>
      </c>
    </row>
    <row r="26" spans="1:55" ht="19.5" customHeight="1" x14ac:dyDescent="0.2">
      <c r="A26" s="8" t="s">
        <v>34</v>
      </c>
      <c r="B26" s="67"/>
      <c r="C26" s="67"/>
      <c r="D26" s="67"/>
      <c r="E26" s="67"/>
      <c r="F26" s="67"/>
      <c r="G26" s="67"/>
      <c r="H26" s="67"/>
      <c r="I26" s="67"/>
      <c r="J26" s="67">
        <v>9.06</v>
      </c>
      <c r="K26" s="67">
        <v>166.43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>
        <v>6.07</v>
      </c>
      <c r="AE26" s="67">
        <v>18.7</v>
      </c>
      <c r="AF26" s="68">
        <f>'Citrus11-12'!J26</f>
        <v>9.65</v>
      </c>
      <c r="AG26" s="68">
        <f>'Citrus11-12'!K26</f>
        <v>62</v>
      </c>
      <c r="AH26" s="67"/>
      <c r="AI26" s="67"/>
      <c r="AJ26" s="67"/>
      <c r="AK26" s="67"/>
      <c r="AL26" s="67"/>
      <c r="AM26" s="67"/>
      <c r="AN26" s="67">
        <v>8.9149999999999991</v>
      </c>
      <c r="AO26" s="67">
        <v>100.55</v>
      </c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52">
        <f t="shared" si="1"/>
        <v>33.695</v>
      </c>
      <c r="BC26" s="52">
        <f t="shared" si="2"/>
        <v>347.68</v>
      </c>
    </row>
    <row r="27" spans="1:55" ht="19.5" customHeight="1" x14ac:dyDescent="0.2">
      <c r="A27" s="7" t="s">
        <v>214</v>
      </c>
      <c r="B27" s="67"/>
      <c r="C27" s="67"/>
      <c r="D27" s="67">
        <v>2.02</v>
      </c>
      <c r="E27" s="67">
        <v>0.68</v>
      </c>
      <c r="F27" s="67"/>
      <c r="G27" s="67"/>
      <c r="H27" s="67"/>
      <c r="I27" s="67"/>
      <c r="J27" s="67">
        <v>27.48</v>
      </c>
      <c r="K27" s="67">
        <v>506.24</v>
      </c>
      <c r="L27" s="67"/>
      <c r="M27" s="67"/>
      <c r="N27" s="67"/>
      <c r="O27" s="67"/>
      <c r="P27" s="67"/>
      <c r="Q27" s="67"/>
      <c r="R27" s="67">
        <v>14.25</v>
      </c>
      <c r="S27" s="67">
        <v>103.44</v>
      </c>
      <c r="T27" s="67"/>
      <c r="U27" s="67"/>
      <c r="V27" s="67"/>
      <c r="W27" s="67"/>
      <c r="X27" s="67">
        <v>4.46</v>
      </c>
      <c r="Y27" s="67">
        <v>20.05</v>
      </c>
      <c r="Z27" s="67">
        <v>197.17</v>
      </c>
      <c r="AA27" s="67">
        <v>715.18</v>
      </c>
      <c r="AB27" s="67">
        <v>3.71</v>
      </c>
      <c r="AC27" s="67">
        <v>81.53</v>
      </c>
      <c r="AD27" s="67"/>
      <c r="AE27" s="67"/>
      <c r="AF27" s="68">
        <f>'Citrus11-12'!J27</f>
        <v>27.81</v>
      </c>
      <c r="AG27" s="68">
        <f>'Citrus11-12'!K27</f>
        <v>269.02</v>
      </c>
      <c r="AH27" s="67"/>
      <c r="AI27" s="67"/>
      <c r="AJ27" s="67"/>
      <c r="AK27" s="67"/>
      <c r="AL27" s="67"/>
      <c r="AM27" s="67"/>
      <c r="AN27" s="67">
        <v>0.83</v>
      </c>
      <c r="AO27" s="67">
        <v>10.64</v>
      </c>
      <c r="AP27" s="67"/>
      <c r="AQ27" s="67"/>
      <c r="AR27" s="67">
        <v>0.23</v>
      </c>
      <c r="AS27" s="67">
        <v>0.87</v>
      </c>
      <c r="AT27" s="67">
        <v>3.37</v>
      </c>
      <c r="AU27" s="67">
        <v>15.92</v>
      </c>
      <c r="AV27" s="67"/>
      <c r="AW27" s="67"/>
      <c r="AX27" s="67"/>
      <c r="AY27" s="67"/>
      <c r="AZ27" s="67">
        <v>47.66</v>
      </c>
      <c r="BA27" s="67">
        <v>430.79</v>
      </c>
      <c r="BB27" s="52">
        <f t="shared" si="1"/>
        <v>328.99</v>
      </c>
      <c r="BC27" s="52">
        <f t="shared" si="2"/>
        <v>2154.36</v>
      </c>
    </row>
    <row r="28" spans="1:55" ht="19.5" customHeight="1" x14ac:dyDescent="0.2">
      <c r="A28" s="8" t="s">
        <v>186</v>
      </c>
      <c r="B28" s="67"/>
      <c r="C28" s="67"/>
      <c r="D28" s="67">
        <v>3.1E-2</v>
      </c>
      <c r="E28" s="67">
        <v>0.156</v>
      </c>
      <c r="F28" s="67"/>
      <c r="G28" s="67"/>
      <c r="H28" s="67"/>
      <c r="I28" s="67"/>
      <c r="J28" s="67">
        <v>0.26800000000000002</v>
      </c>
      <c r="K28" s="67">
        <v>6.7080000000000002</v>
      </c>
      <c r="L28" s="67"/>
      <c r="M28" s="67"/>
      <c r="N28" s="67"/>
      <c r="O28" s="67"/>
      <c r="P28" s="67"/>
      <c r="Q28" s="67"/>
      <c r="R28" s="67">
        <v>6.6000000000000003E-2</v>
      </c>
      <c r="S28" s="67">
        <v>0.159</v>
      </c>
      <c r="T28" s="67"/>
      <c r="U28" s="67"/>
      <c r="V28" s="67"/>
      <c r="W28" s="67"/>
      <c r="X28" s="67"/>
      <c r="Y28" s="67"/>
      <c r="Z28" s="67">
        <v>0.14699999999999999</v>
      </c>
      <c r="AA28" s="67">
        <v>1.8420000000000001</v>
      </c>
      <c r="AB28" s="67"/>
      <c r="AC28" s="67"/>
      <c r="AD28" s="67"/>
      <c r="AE28" s="67"/>
      <c r="AF28" s="68">
        <f>'Citrus11-12'!J28</f>
        <v>1.4999999999999999E-2</v>
      </c>
      <c r="AG28" s="68">
        <f>'Citrus11-12'!K28</f>
        <v>8.4000000000000005E-2</v>
      </c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>
        <v>4.7E-2</v>
      </c>
      <c r="AU28" s="67">
        <v>0.28000000000000003</v>
      </c>
      <c r="AV28" s="67"/>
      <c r="AW28" s="67"/>
      <c r="AX28" s="67"/>
      <c r="AY28" s="67"/>
      <c r="AZ28" s="67"/>
      <c r="BA28" s="67"/>
      <c r="BB28" s="52">
        <f t="shared" si="1"/>
        <v>0.57400000000000007</v>
      </c>
      <c r="BC28" s="52">
        <f t="shared" si="2"/>
        <v>9.2289999999999992</v>
      </c>
    </row>
    <row r="29" spans="1:55" ht="19.5" customHeight="1" x14ac:dyDescent="0.2">
      <c r="A29" s="7" t="s">
        <v>35</v>
      </c>
      <c r="B29" s="67"/>
      <c r="C29" s="67"/>
      <c r="D29" s="67">
        <v>0.35</v>
      </c>
      <c r="E29" s="67">
        <v>4.7629999999999999</v>
      </c>
      <c r="F29" s="67"/>
      <c r="G29" s="67"/>
      <c r="H29" s="67"/>
      <c r="I29" s="67"/>
      <c r="J29" s="67">
        <v>0.20399999999999999</v>
      </c>
      <c r="K29" s="67">
        <v>11.645</v>
      </c>
      <c r="L29" s="67">
        <v>1.839</v>
      </c>
      <c r="M29" s="67">
        <v>30.251999999999999</v>
      </c>
      <c r="N29" s="67"/>
      <c r="O29" s="67"/>
      <c r="P29" s="67">
        <v>0.441</v>
      </c>
      <c r="Q29" s="67">
        <v>12.516999999999999</v>
      </c>
      <c r="R29" s="67">
        <v>7.9379999999999997</v>
      </c>
      <c r="S29" s="67">
        <v>173.83</v>
      </c>
      <c r="T29" s="67"/>
      <c r="U29" s="67"/>
      <c r="V29" s="67"/>
      <c r="W29" s="67"/>
      <c r="X29" s="67">
        <v>1.6719999999999999</v>
      </c>
      <c r="Y29" s="67">
        <v>24.547999999999998</v>
      </c>
      <c r="Z29" s="67">
        <v>6.5640000000000001</v>
      </c>
      <c r="AA29" s="67">
        <v>104.041</v>
      </c>
      <c r="AB29" s="67"/>
      <c r="AC29" s="67"/>
      <c r="AD29" s="67"/>
      <c r="AE29" s="67"/>
      <c r="AF29" s="68">
        <f>'Citrus11-12'!J29</f>
        <v>46.29</v>
      </c>
      <c r="AG29" s="68">
        <f>'Citrus11-12'!K29</f>
        <v>942.75</v>
      </c>
      <c r="AH29" s="67">
        <v>1.5609999999999999</v>
      </c>
      <c r="AI29" s="67">
        <v>27.529</v>
      </c>
      <c r="AJ29" s="67">
        <v>2.706</v>
      </c>
      <c r="AK29" s="67">
        <v>61.113</v>
      </c>
      <c r="AL29" s="67"/>
      <c r="AM29" s="67"/>
      <c r="AN29" s="67"/>
      <c r="AO29" s="67"/>
      <c r="AP29" s="67">
        <v>0.19400000000000001</v>
      </c>
      <c r="AQ29" s="67">
        <v>3.4169999999999998</v>
      </c>
      <c r="AR29" s="67"/>
      <c r="AS29" s="67"/>
      <c r="AT29" s="67"/>
      <c r="AU29" s="67"/>
      <c r="AV29" s="67"/>
      <c r="AW29" s="67"/>
      <c r="AX29" s="67"/>
      <c r="AY29" s="67"/>
      <c r="AZ29" s="67">
        <v>1.714</v>
      </c>
      <c r="BA29" s="67">
        <v>23.457000000000001</v>
      </c>
      <c r="BB29" s="52">
        <f t="shared" si="1"/>
        <v>71.473000000000013</v>
      </c>
      <c r="BC29" s="52">
        <f t="shared" si="2"/>
        <v>1419.8620000000001</v>
      </c>
    </row>
    <row r="30" spans="1:55" ht="19.5" customHeight="1" x14ac:dyDescent="0.2">
      <c r="A30" s="7" t="s">
        <v>36</v>
      </c>
      <c r="B30" s="67"/>
      <c r="C30" s="67"/>
      <c r="D30" s="67">
        <v>10.3</v>
      </c>
      <c r="E30" s="67">
        <v>121</v>
      </c>
      <c r="F30" s="67"/>
      <c r="G30" s="67"/>
      <c r="H30" s="67"/>
      <c r="I30" s="67"/>
      <c r="J30" s="67">
        <v>0.05</v>
      </c>
      <c r="K30" s="67">
        <v>0.8</v>
      </c>
      <c r="L30" s="67">
        <v>3.5</v>
      </c>
      <c r="M30" s="67">
        <v>15</v>
      </c>
      <c r="N30" s="67">
        <v>0.88</v>
      </c>
      <c r="O30" s="67">
        <v>6.8</v>
      </c>
      <c r="P30" s="67">
        <v>1.4999999999999999E-2</v>
      </c>
      <c r="Q30" s="67">
        <v>0.22500000000000001</v>
      </c>
      <c r="R30" s="67">
        <v>3</v>
      </c>
      <c r="S30" s="67">
        <v>23</v>
      </c>
      <c r="T30" s="67"/>
      <c r="U30" s="67"/>
      <c r="V30" s="67"/>
      <c r="W30" s="67"/>
      <c r="X30" s="67"/>
      <c r="Y30" s="67"/>
      <c r="Z30" s="67">
        <v>6.2</v>
      </c>
      <c r="AA30" s="67">
        <v>90</v>
      </c>
      <c r="AB30" s="67">
        <v>0.8</v>
      </c>
      <c r="AC30" s="67">
        <v>9</v>
      </c>
      <c r="AD30" s="67"/>
      <c r="AE30" s="67"/>
      <c r="AF30" s="68">
        <f>'Citrus11-12'!J30</f>
        <v>20.8</v>
      </c>
      <c r="AG30" s="68">
        <f>'Citrus11-12'!K30</f>
        <v>330.5</v>
      </c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>
        <v>0.82</v>
      </c>
      <c r="AS30" s="67">
        <v>4.7</v>
      </c>
      <c r="AT30" s="67">
        <v>0.02</v>
      </c>
      <c r="AU30" s="67">
        <v>0.05</v>
      </c>
      <c r="AV30" s="67"/>
      <c r="AW30" s="67"/>
      <c r="AX30" s="67"/>
      <c r="AY30" s="67"/>
      <c r="AZ30" s="67">
        <v>2.37</v>
      </c>
      <c r="BA30" s="67">
        <v>12.85</v>
      </c>
      <c r="BB30" s="52">
        <f t="shared" si="1"/>
        <v>48.755000000000003</v>
      </c>
      <c r="BC30" s="52">
        <f t="shared" si="2"/>
        <v>613.92500000000007</v>
      </c>
    </row>
    <row r="31" spans="1:55" ht="19.5" customHeight="1" x14ac:dyDescent="0.2">
      <c r="A31" s="7" t="s">
        <v>37</v>
      </c>
      <c r="B31" s="67"/>
      <c r="C31" s="67"/>
      <c r="D31" s="67"/>
      <c r="E31" s="67"/>
      <c r="F31" s="67">
        <v>2.5999999999999999E-2</v>
      </c>
      <c r="G31" s="67">
        <v>2.1999999999999999E-2</v>
      </c>
      <c r="H31" s="67"/>
      <c r="I31" s="67"/>
      <c r="J31" s="67">
        <v>1.4570000000000001</v>
      </c>
      <c r="K31" s="67">
        <v>3.718</v>
      </c>
      <c r="L31" s="67"/>
      <c r="M31" s="67"/>
      <c r="N31" s="67"/>
      <c r="O31" s="67"/>
      <c r="P31" s="67"/>
      <c r="Q31" s="67"/>
      <c r="R31" s="67">
        <v>1.0509999999999999</v>
      </c>
      <c r="S31" s="67">
        <v>9.9000000000000005E-2</v>
      </c>
      <c r="T31" s="67"/>
      <c r="U31" s="67"/>
      <c r="V31" s="67">
        <v>6.8000000000000005E-2</v>
      </c>
      <c r="W31" s="67">
        <v>0.72</v>
      </c>
      <c r="X31" s="67">
        <v>0.255</v>
      </c>
      <c r="Y31" s="67">
        <v>2.1999999999999999E-2</v>
      </c>
      <c r="Z31" s="67"/>
      <c r="AA31" s="67"/>
      <c r="AB31" s="67">
        <v>0.05</v>
      </c>
      <c r="AC31" s="67">
        <v>0.22500000000000001</v>
      </c>
      <c r="AD31" s="67">
        <v>0.53</v>
      </c>
      <c r="AE31" s="67">
        <v>0.13600000000000001</v>
      </c>
      <c r="AF31" s="68">
        <f>'Citrus11-12'!J31</f>
        <v>8.6319999999999997</v>
      </c>
      <c r="AG31" s="68">
        <f>'Citrus11-12'!K31</f>
        <v>15.94</v>
      </c>
      <c r="AH31" s="67"/>
      <c r="AI31" s="67"/>
      <c r="AJ31" s="67">
        <v>1.149</v>
      </c>
      <c r="AK31" s="67">
        <v>1.4950000000000001</v>
      </c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>
        <v>0.17699999999999999</v>
      </c>
      <c r="BA31" s="67">
        <v>8.7999999999999995E-2</v>
      </c>
      <c r="BB31" s="52">
        <f t="shared" si="1"/>
        <v>13.395</v>
      </c>
      <c r="BC31" s="52">
        <f t="shared" si="2"/>
        <v>22.465</v>
      </c>
    </row>
    <row r="32" spans="1:55" ht="19.5" customHeight="1" x14ac:dyDescent="0.2">
      <c r="A32" s="7" t="s">
        <v>38</v>
      </c>
      <c r="B32" s="67"/>
      <c r="C32" s="67"/>
      <c r="D32" s="67">
        <v>9.39</v>
      </c>
      <c r="E32" s="67">
        <v>156.38999999999999</v>
      </c>
      <c r="F32" s="67">
        <v>7.0000000000000001E-3</v>
      </c>
      <c r="G32" s="67">
        <v>0.12</v>
      </c>
      <c r="H32" s="67"/>
      <c r="I32" s="67"/>
      <c r="J32" s="67">
        <v>130.38</v>
      </c>
      <c r="K32" s="67">
        <v>6736.43</v>
      </c>
      <c r="L32" s="67"/>
      <c r="M32" s="67"/>
      <c r="N32" s="67"/>
      <c r="O32" s="67"/>
      <c r="P32" s="67">
        <v>2.85</v>
      </c>
      <c r="Q32" s="67">
        <v>55.1</v>
      </c>
      <c r="R32" s="67">
        <v>7.94</v>
      </c>
      <c r="S32" s="67">
        <v>97.8</v>
      </c>
      <c r="T32" s="67">
        <v>3.39</v>
      </c>
      <c r="U32" s="67">
        <v>48.52</v>
      </c>
      <c r="V32" s="67"/>
      <c r="W32" s="67"/>
      <c r="X32" s="67"/>
      <c r="Y32" s="67"/>
      <c r="Z32" s="67">
        <v>151.88</v>
      </c>
      <c r="AA32" s="67">
        <v>889.64</v>
      </c>
      <c r="AB32" s="67">
        <v>0.66</v>
      </c>
      <c r="AC32" s="67">
        <v>109.22</v>
      </c>
      <c r="AD32" s="67"/>
      <c r="AE32" s="67"/>
      <c r="AF32" s="68">
        <f>'Citrus11-12'!J32</f>
        <v>11.780000000000001</v>
      </c>
      <c r="AG32" s="68">
        <f>'Citrus11-12'!K32</f>
        <v>44.62</v>
      </c>
      <c r="AH32" s="67">
        <v>0.11</v>
      </c>
      <c r="AI32" s="67">
        <v>2.23</v>
      </c>
      <c r="AJ32" s="67">
        <v>1.25</v>
      </c>
      <c r="AK32" s="67">
        <v>45.95</v>
      </c>
      <c r="AL32" s="67"/>
      <c r="AM32" s="67"/>
      <c r="AN32" s="67">
        <v>0.65</v>
      </c>
      <c r="AO32" s="67">
        <v>26.07</v>
      </c>
      <c r="AP32" s="67">
        <v>0.53</v>
      </c>
      <c r="AQ32" s="67">
        <v>6.34</v>
      </c>
      <c r="AR32" s="67">
        <v>0.48</v>
      </c>
      <c r="AS32" s="67">
        <v>13.19</v>
      </c>
      <c r="AT32" s="67">
        <v>8.75</v>
      </c>
      <c r="AU32" s="67">
        <v>244.39</v>
      </c>
      <c r="AV32" s="67"/>
      <c r="AW32" s="67"/>
      <c r="AX32" s="67"/>
      <c r="AY32" s="67"/>
      <c r="AZ32" s="67">
        <v>1.92</v>
      </c>
      <c r="BA32" s="67">
        <v>59.04</v>
      </c>
      <c r="BB32" s="52">
        <f t="shared" si="1"/>
        <v>331.96700000000004</v>
      </c>
      <c r="BC32" s="52">
        <f t="shared" si="2"/>
        <v>8535.0500000000029</v>
      </c>
    </row>
    <row r="33" spans="1:55" ht="19.5" customHeight="1" x14ac:dyDescent="0.2">
      <c r="A33" s="7" t="s">
        <v>39</v>
      </c>
      <c r="B33" s="67"/>
      <c r="C33" s="67"/>
      <c r="D33" s="67"/>
      <c r="E33" s="67"/>
      <c r="F33" s="67"/>
      <c r="G33" s="67"/>
      <c r="H33" s="67"/>
      <c r="I33" s="67"/>
      <c r="J33" s="67">
        <v>12.9</v>
      </c>
      <c r="K33" s="67">
        <v>124.96</v>
      </c>
      <c r="L33" s="67"/>
      <c r="M33" s="67"/>
      <c r="N33" s="67"/>
      <c r="O33" s="67"/>
      <c r="P33" s="67"/>
      <c r="Q33" s="67"/>
      <c r="R33" s="67">
        <v>0.38</v>
      </c>
      <c r="S33" s="67">
        <v>2.008</v>
      </c>
      <c r="T33" s="67">
        <v>7.2</v>
      </c>
      <c r="U33" s="67">
        <v>245.77</v>
      </c>
      <c r="V33" s="67"/>
      <c r="W33" s="67"/>
      <c r="X33" s="67">
        <v>3.2</v>
      </c>
      <c r="Y33" s="67">
        <v>16.559999999999999</v>
      </c>
      <c r="Z33" s="67">
        <v>7.4</v>
      </c>
      <c r="AA33" s="67">
        <v>23.86</v>
      </c>
      <c r="AB33" s="67">
        <v>2.5499999999999998</v>
      </c>
      <c r="AC33" s="67">
        <v>22.57</v>
      </c>
      <c r="AD33" s="67"/>
      <c r="AE33" s="67"/>
      <c r="AF33" s="68">
        <f>'Citrus11-12'!J33</f>
        <v>8.06</v>
      </c>
      <c r="AG33" s="68">
        <f>'Citrus11-12'!K33</f>
        <v>39.049999999999997</v>
      </c>
      <c r="AH33" s="67"/>
      <c r="AI33" s="67"/>
      <c r="AJ33" s="67"/>
      <c r="AK33" s="67"/>
      <c r="AL33" s="67"/>
      <c r="AM33" s="67"/>
      <c r="AN33" s="67">
        <v>11.6</v>
      </c>
      <c r="AO33" s="67">
        <v>153.71</v>
      </c>
      <c r="AP33" s="67"/>
      <c r="AQ33" s="67"/>
      <c r="AR33" s="67"/>
      <c r="AS33" s="67"/>
      <c r="AT33" s="67">
        <v>0.11</v>
      </c>
      <c r="AU33" s="67">
        <v>1.01</v>
      </c>
      <c r="AV33" s="67"/>
      <c r="AW33" s="67"/>
      <c r="AX33" s="67"/>
      <c r="AY33" s="67"/>
      <c r="AZ33" s="67">
        <v>1.1000000000000001</v>
      </c>
      <c r="BA33" s="67">
        <v>14.85</v>
      </c>
      <c r="BB33" s="52">
        <f t="shared" si="1"/>
        <v>54.5</v>
      </c>
      <c r="BC33" s="52">
        <f t="shared" si="2"/>
        <v>644.34800000000007</v>
      </c>
    </row>
    <row r="34" spans="1:55" ht="19.5" customHeight="1" x14ac:dyDescent="0.2">
      <c r="A34" s="7" t="s">
        <v>40</v>
      </c>
      <c r="B34" s="67"/>
      <c r="C34" s="67"/>
      <c r="D34" s="67">
        <v>30.49</v>
      </c>
      <c r="E34" s="67">
        <v>332.34199999999998</v>
      </c>
      <c r="F34" s="67"/>
      <c r="G34" s="67"/>
      <c r="H34" s="67"/>
      <c r="I34" s="67"/>
      <c r="J34" s="67">
        <v>32.448999999999998</v>
      </c>
      <c r="K34" s="67">
        <v>1346.0540000000001</v>
      </c>
      <c r="L34" s="67"/>
      <c r="M34" s="67"/>
      <c r="N34" s="67"/>
      <c r="O34" s="67"/>
      <c r="P34" s="67"/>
      <c r="Q34" s="67"/>
      <c r="R34" s="67">
        <v>14.411</v>
      </c>
      <c r="S34" s="67">
        <v>251.47800000000001</v>
      </c>
      <c r="T34" s="67">
        <v>0.39400000000000002</v>
      </c>
      <c r="U34" s="67">
        <v>9.85</v>
      </c>
      <c r="V34" s="67"/>
      <c r="W34" s="67"/>
      <c r="X34" s="67">
        <v>0.29799999999999999</v>
      </c>
      <c r="Y34" s="67">
        <v>1.3580000000000001</v>
      </c>
      <c r="Z34" s="67">
        <v>258.30799999999999</v>
      </c>
      <c r="AA34" s="67">
        <v>3840.8310000000001</v>
      </c>
      <c r="AB34" s="67">
        <v>0.17100000000000001</v>
      </c>
      <c r="AC34" s="67">
        <v>11.868</v>
      </c>
      <c r="AD34" s="67"/>
      <c r="AE34" s="67"/>
      <c r="AF34" s="68">
        <v>0.504</v>
      </c>
      <c r="AG34" s="68">
        <v>1.3080000000000001</v>
      </c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52">
        <f t="shared" si="1"/>
        <v>337.02500000000003</v>
      </c>
      <c r="BC34" s="52">
        <f t="shared" si="2"/>
        <v>5795.0890000000009</v>
      </c>
    </row>
    <row r="35" spans="1:55" ht="19.5" customHeight="1" x14ac:dyDescent="0.2">
      <c r="A35" s="7" t="s">
        <v>100</v>
      </c>
      <c r="B35" s="67"/>
      <c r="C35" s="67"/>
      <c r="D35" s="67">
        <v>0.53100000000000003</v>
      </c>
      <c r="E35" s="67">
        <v>1.23</v>
      </c>
      <c r="F35" s="67">
        <v>33.732999999999997</v>
      </c>
      <c r="G35" s="67">
        <v>122.65300000000001</v>
      </c>
      <c r="H35" s="67"/>
      <c r="I35" s="67"/>
      <c r="J35" s="67">
        <v>9.0380000000000003</v>
      </c>
      <c r="K35" s="67">
        <v>32.281999999999996</v>
      </c>
      <c r="L35" s="67"/>
      <c r="M35" s="67"/>
      <c r="N35" s="67"/>
      <c r="O35" s="67"/>
      <c r="P35" s="67"/>
      <c r="Q35" s="67"/>
      <c r="R35" s="67">
        <v>1.8129999999999999</v>
      </c>
      <c r="S35" s="67">
        <v>11.285</v>
      </c>
      <c r="T35" s="67"/>
      <c r="U35" s="67"/>
      <c r="V35" s="67"/>
      <c r="W35" s="67"/>
      <c r="X35" s="67">
        <v>9.48</v>
      </c>
      <c r="Y35" s="67">
        <v>19.015000000000001</v>
      </c>
      <c r="Z35" s="67">
        <v>39.838999999999999</v>
      </c>
      <c r="AA35" s="67">
        <v>147.79499999999999</v>
      </c>
      <c r="AB35" s="67"/>
      <c r="AC35" s="67"/>
      <c r="AD35" s="67"/>
      <c r="AE35" s="67"/>
      <c r="AF35" s="68">
        <f>'Citrus11-12'!J35</f>
        <v>27.951000000000001</v>
      </c>
      <c r="AG35" s="68">
        <f>'Citrus11-12'!K35</f>
        <v>138.45699999999999</v>
      </c>
      <c r="AH35" s="67">
        <v>9.0220000000000002</v>
      </c>
      <c r="AI35" s="67">
        <v>49.682000000000002</v>
      </c>
      <c r="AJ35" s="67">
        <v>15.081</v>
      </c>
      <c r="AK35" s="67">
        <v>108.12</v>
      </c>
      <c r="AL35" s="67"/>
      <c r="AM35" s="67"/>
      <c r="AN35" s="67"/>
      <c r="AO35" s="67"/>
      <c r="AP35" s="67">
        <v>9.6530000000000005</v>
      </c>
      <c r="AQ35" s="67">
        <v>41.225000000000001</v>
      </c>
      <c r="AR35" s="67"/>
      <c r="AS35" s="67"/>
      <c r="AT35" s="67"/>
      <c r="AU35" s="67"/>
      <c r="AV35" s="67"/>
      <c r="AW35" s="67"/>
      <c r="AX35" s="67">
        <v>19.643999999999998</v>
      </c>
      <c r="AY35" s="67">
        <v>21.812000000000001</v>
      </c>
      <c r="AZ35" s="67">
        <v>24.942</v>
      </c>
      <c r="BA35" s="67">
        <v>108.568</v>
      </c>
      <c r="BB35" s="52">
        <f t="shared" si="1"/>
        <v>200.72699999999998</v>
      </c>
      <c r="BC35" s="52">
        <f t="shared" si="2"/>
        <v>802.12400000000002</v>
      </c>
    </row>
    <row r="36" spans="1:55" ht="19.5" customHeight="1" x14ac:dyDescent="0.2">
      <c r="A36" s="7" t="s">
        <v>42</v>
      </c>
      <c r="B36" s="67"/>
      <c r="C36" s="67"/>
      <c r="D36" s="67"/>
      <c r="E36" s="67"/>
      <c r="F36" s="67"/>
      <c r="G36" s="67"/>
      <c r="H36" s="67"/>
      <c r="I36" s="67"/>
      <c r="J36" s="67">
        <v>43.734000000000002</v>
      </c>
      <c r="K36" s="67">
        <v>1053.989</v>
      </c>
      <c r="L36" s="67"/>
      <c r="M36" s="67"/>
      <c r="N36" s="67"/>
      <c r="O36" s="67"/>
      <c r="P36" s="67"/>
      <c r="Q36" s="67"/>
      <c r="R36" s="67">
        <v>14.068</v>
      </c>
      <c r="S36" s="67">
        <v>179.77600000000001</v>
      </c>
      <c r="T36" s="67">
        <v>11.41</v>
      </c>
      <c r="U36" s="67">
        <v>191.97499999999999</v>
      </c>
      <c r="V36" s="67"/>
      <c r="W36" s="67"/>
      <c r="X36" s="67">
        <v>8.9329999999999998</v>
      </c>
      <c r="Y36" s="67">
        <v>85.266999999999996</v>
      </c>
      <c r="Z36" s="67">
        <v>90.936999999999998</v>
      </c>
      <c r="AA36" s="67">
        <v>661.52800000000002</v>
      </c>
      <c r="AB36" s="67">
        <v>11.227</v>
      </c>
      <c r="AC36" s="67">
        <v>327.82799999999997</v>
      </c>
      <c r="AD36" s="67"/>
      <c r="AE36" s="67"/>
      <c r="AF36" s="68">
        <f>'Citrus11-12'!J36</f>
        <v>11.489000000000001</v>
      </c>
      <c r="AG36" s="68">
        <f>'Citrus11-12'!K36</f>
        <v>107.246</v>
      </c>
      <c r="AH36" s="67"/>
      <c r="AI36" s="67"/>
      <c r="AJ36" s="67"/>
      <c r="AK36" s="67"/>
      <c r="AL36" s="67"/>
      <c r="AM36" s="67"/>
      <c r="AN36" s="67">
        <v>10.125999999999999</v>
      </c>
      <c r="AO36" s="67">
        <v>309.85599999999999</v>
      </c>
      <c r="AP36" s="67"/>
      <c r="AQ36" s="67"/>
      <c r="AR36" s="67"/>
      <c r="AS36" s="67"/>
      <c r="AT36" s="67">
        <v>4.101</v>
      </c>
      <c r="AU36" s="67">
        <v>43.610999999999997</v>
      </c>
      <c r="AV36" s="67"/>
      <c r="AW36" s="67"/>
      <c r="AX36" s="67"/>
      <c r="AY36" s="67"/>
      <c r="AZ36" s="67">
        <v>10.619</v>
      </c>
      <c r="BA36" s="67">
        <v>94.36</v>
      </c>
      <c r="BB36" s="52">
        <f t="shared" si="1"/>
        <v>216.64400000000001</v>
      </c>
      <c r="BC36" s="52">
        <f t="shared" si="2"/>
        <v>3055.4360000000001</v>
      </c>
    </row>
    <row r="37" spans="1:55" ht="19.5" customHeight="1" x14ac:dyDescent="0.2">
      <c r="A37" s="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8"/>
      <c r="AG37" s="68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52"/>
      <c r="BC37" s="52"/>
    </row>
    <row r="38" spans="1:55" ht="19.5" customHeight="1" x14ac:dyDescent="0.2">
      <c r="A38" s="7" t="s">
        <v>9</v>
      </c>
      <c r="B38" s="68">
        <f>SUM(B3:B37)</f>
        <v>22.389999999999997</v>
      </c>
      <c r="C38" s="68">
        <f t="shared" ref="C38:BC38" si="3">SUM(C3:C37)</f>
        <v>4.3421699999999994</v>
      </c>
      <c r="D38" s="68">
        <f t="shared" si="3"/>
        <v>95.162960000000012</v>
      </c>
      <c r="E38" s="68">
        <f t="shared" si="3"/>
        <v>960.93709999999999</v>
      </c>
      <c r="F38" s="68">
        <f t="shared" si="3"/>
        <v>321.8784</v>
      </c>
      <c r="G38" s="68">
        <f t="shared" si="3"/>
        <v>2203.3719999999998</v>
      </c>
      <c r="H38" s="68">
        <f t="shared" si="3"/>
        <v>0</v>
      </c>
      <c r="I38" s="68">
        <f t="shared" si="3"/>
        <v>0</v>
      </c>
      <c r="J38" s="68">
        <f t="shared" si="3"/>
        <v>796.50099999999998</v>
      </c>
      <c r="K38" s="68">
        <f t="shared" si="3"/>
        <v>28455.059000000001</v>
      </c>
      <c r="L38" s="68">
        <f t="shared" si="3"/>
        <v>33.797869999999996</v>
      </c>
      <c r="M38" s="68">
        <f t="shared" si="3"/>
        <v>252.423</v>
      </c>
      <c r="N38" s="68">
        <f t="shared" si="3"/>
        <v>18.505999999999997</v>
      </c>
      <c r="O38" s="68">
        <f t="shared" si="3"/>
        <v>127.267</v>
      </c>
      <c r="P38" s="68">
        <f t="shared" si="3"/>
        <v>116.00304</v>
      </c>
      <c r="Q38" s="68">
        <f t="shared" si="3"/>
        <v>2220.9399999999996</v>
      </c>
      <c r="R38" s="68">
        <f t="shared" si="3"/>
        <v>219.90348999999995</v>
      </c>
      <c r="S38" s="68">
        <f t="shared" si="3"/>
        <v>2510.3923500000001</v>
      </c>
      <c r="T38" s="68">
        <f t="shared" si="3"/>
        <v>59.832999999999998</v>
      </c>
      <c r="U38" s="68">
        <f t="shared" si="3"/>
        <v>1041.654</v>
      </c>
      <c r="V38" s="68">
        <f t="shared" si="3"/>
        <v>3.3451300000000002</v>
      </c>
      <c r="W38" s="68">
        <f t="shared" si="3"/>
        <v>5.6536</v>
      </c>
      <c r="X38" s="68">
        <f t="shared" si="3"/>
        <v>80.394290000000012</v>
      </c>
      <c r="Y38" s="68">
        <f t="shared" si="3"/>
        <v>538.12572999999998</v>
      </c>
      <c r="Z38" s="68">
        <f t="shared" si="3"/>
        <v>2378.1108200000003</v>
      </c>
      <c r="AA38" s="68">
        <f t="shared" si="3"/>
        <v>16196.394479999999</v>
      </c>
      <c r="AB38" s="68">
        <f t="shared" si="3"/>
        <v>117.35299999999999</v>
      </c>
      <c r="AC38" s="68">
        <f t="shared" si="3"/>
        <v>4457.0884999999998</v>
      </c>
      <c r="AD38" s="68">
        <f t="shared" si="3"/>
        <v>15.919999999999998</v>
      </c>
      <c r="AE38" s="68">
        <f t="shared" si="3"/>
        <v>97.396000000000001</v>
      </c>
      <c r="AF38" s="68">
        <f t="shared" si="3"/>
        <v>915.08480999999983</v>
      </c>
      <c r="AG38" s="68">
        <f t="shared" si="3"/>
        <v>7922.0149500000007</v>
      </c>
      <c r="AH38" s="68">
        <f t="shared" si="3"/>
        <v>20.26146</v>
      </c>
      <c r="AI38" s="68">
        <f t="shared" si="3"/>
        <v>90.84</v>
      </c>
      <c r="AJ38" s="68">
        <f t="shared" si="3"/>
        <v>48.021550000000005</v>
      </c>
      <c r="AK38" s="68">
        <f t="shared" si="3"/>
        <v>294.125</v>
      </c>
      <c r="AL38" s="68">
        <f t="shared" si="3"/>
        <v>0.55110000000000003</v>
      </c>
      <c r="AM38" s="68">
        <f t="shared" si="3"/>
        <v>1.0059999999999999E-2</v>
      </c>
      <c r="AN38" s="68">
        <f t="shared" si="3"/>
        <v>102.377</v>
      </c>
      <c r="AO38" s="68">
        <f t="shared" si="3"/>
        <v>1500.0309999999999</v>
      </c>
      <c r="AP38" s="68">
        <f t="shared" si="3"/>
        <v>25.845280000000002</v>
      </c>
      <c r="AQ38" s="68">
        <f t="shared" si="3"/>
        <v>72.257999999999996</v>
      </c>
      <c r="AR38" s="68">
        <f t="shared" si="3"/>
        <v>112.205</v>
      </c>
      <c r="AS38" s="68">
        <f t="shared" si="3"/>
        <v>772.44950000000006</v>
      </c>
      <c r="AT38" s="68">
        <f t="shared" si="3"/>
        <v>163.35000000000002</v>
      </c>
      <c r="AU38" s="68">
        <f t="shared" si="3"/>
        <v>1425.7959999999998</v>
      </c>
      <c r="AV38" s="68">
        <f t="shared" si="3"/>
        <v>6.8000000000000005E-2</v>
      </c>
      <c r="AW38" s="68">
        <f t="shared" si="3"/>
        <v>0.29599999999999999</v>
      </c>
      <c r="AX38" s="68">
        <f t="shared" si="3"/>
        <v>149.50280000000001</v>
      </c>
      <c r="AY38" s="68">
        <f t="shared" si="3"/>
        <v>284.40985000000001</v>
      </c>
      <c r="AZ38" s="68">
        <f t="shared" si="3"/>
        <v>887.80871000000013</v>
      </c>
      <c r="BA38" s="68">
        <f t="shared" si="3"/>
        <v>4990.9372500000009</v>
      </c>
      <c r="BB38" s="52">
        <f t="shared" si="3"/>
        <v>6704.1747099999993</v>
      </c>
      <c r="BC38" s="52">
        <f t="shared" si="3"/>
        <v>76424.212540000008</v>
      </c>
    </row>
    <row r="39" spans="1:55" ht="19.5" customHeight="1" x14ac:dyDescent="0.2">
      <c r="A39" s="93" t="s">
        <v>226</v>
      </c>
    </row>
    <row r="40" spans="1:55" ht="19.5" customHeight="1" x14ac:dyDescent="0.2">
      <c r="A40" s="93" t="s">
        <v>224</v>
      </c>
    </row>
  </sheetData>
  <mergeCells count="27">
    <mergeCell ref="AL1:AM1"/>
    <mergeCell ref="AN1:AO1"/>
    <mergeCell ref="BB1:BC1"/>
    <mergeCell ref="AP1:AQ1"/>
    <mergeCell ref="AR1:AS1"/>
    <mergeCell ref="AT1:AU1"/>
    <mergeCell ref="AV1:AW1"/>
    <mergeCell ref="AX1:AY1"/>
    <mergeCell ref="AZ1:BA1"/>
    <mergeCell ref="AH1:AI1"/>
    <mergeCell ref="AJ1:AK1"/>
    <mergeCell ref="AD1:AE1"/>
    <mergeCell ref="AF1:AG1"/>
    <mergeCell ref="V1:W1"/>
    <mergeCell ref="X1:Y1"/>
    <mergeCell ref="Z1:AA1"/>
    <mergeCell ref="AB1:AC1"/>
    <mergeCell ref="R1:S1"/>
    <mergeCell ref="T1:U1"/>
    <mergeCell ref="B1:C1"/>
    <mergeCell ref="D1:E1"/>
    <mergeCell ref="F1:G1"/>
    <mergeCell ref="H1:I1"/>
    <mergeCell ref="J1:K1"/>
    <mergeCell ref="L1:M1"/>
    <mergeCell ref="N1:O1"/>
    <mergeCell ref="P1:Q1"/>
  </mergeCells>
  <phoneticPr fontId="24" type="noConversion"/>
  <printOptions horizontalCentered="1" verticalCentered="1"/>
  <pageMargins left="0.22" right="0.44" top="0.5" bottom="0.25" header="0.5" footer="0.25"/>
  <pageSetup scale="69" orientation="landscape" r:id="rId1"/>
  <headerFooter alignWithMargins="0">
    <oddHeader>&amp;C&amp;"Arial,Bold"&amp;12Area and Production of Fruits Crop 2011-12&amp;R&amp;"Arial,Bold"Area in '000 Ha
Production in  '000 MT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F45" sqref="F45"/>
    </sheetView>
  </sheetViews>
  <sheetFormatPr defaultColWidth="9.5703125" defaultRowHeight="15.75" customHeight="1" x14ac:dyDescent="0.2"/>
  <cols>
    <col min="1" max="1" width="23" style="16" customWidth="1"/>
    <col min="2" max="2" width="13.140625" style="16" customWidth="1"/>
    <col min="3" max="3" width="14.28515625" style="16" customWidth="1"/>
    <col min="4" max="5" width="12.42578125" style="16" customWidth="1"/>
    <col min="6" max="6" width="11.7109375" style="16" customWidth="1"/>
    <col min="7" max="7" width="12" style="16" customWidth="1"/>
    <col min="8" max="8" width="12.5703125" style="16" customWidth="1"/>
    <col min="9" max="9" width="13.140625" style="16" customWidth="1"/>
    <col min="10" max="10" width="12.28515625" style="16" customWidth="1"/>
    <col min="11" max="11" width="10" style="16" customWidth="1"/>
    <col min="12" max="16384" width="9.5703125" style="16"/>
  </cols>
  <sheetData>
    <row r="1" spans="1:11" ht="45.75" customHeight="1" x14ac:dyDescent="0.2">
      <c r="A1" s="14" t="s">
        <v>99</v>
      </c>
      <c r="B1" s="111" t="s">
        <v>119</v>
      </c>
      <c r="C1" s="111"/>
      <c r="D1" s="117" t="s">
        <v>201</v>
      </c>
      <c r="E1" s="117"/>
      <c r="F1" s="118" t="s">
        <v>202</v>
      </c>
      <c r="G1" s="119"/>
      <c r="H1" s="111" t="s">
        <v>120</v>
      </c>
      <c r="I1" s="111"/>
      <c r="J1" s="116" t="s">
        <v>9</v>
      </c>
      <c r="K1" s="116"/>
    </row>
    <row r="2" spans="1:11" ht="15.75" customHeight="1" x14ac:dyDescent="0.2">
      <c r="A2" s="6"/>
      <c r="B2" s="15" t="s">
        <v>51</v>
      </c>
      <c r="C2" s="15" t="s">
        <v>10</v>
      </c>
      <c r="D2" s="15" t="s">
        <v>51</v>
      </c>
      <c r="E2" s="15" t="s">
        <v>10</v>
      </c>
      <c r="F2" s="15" t="s">
        <v>51</v>
      </c>
      <c r="G2" s="15" t="s">
        <v>10</v>
      </c>
      <c r="H2" s="15" t="s">
        <v>51</v>
      </c>
      <c r="I2" s="15" t="s">
        <v>10</v>
      </c>
      <c r="J2" s="15" t="s">
        <v>51</v>
      </c>
      <c r="K2" s="15" t="s">
        <v>10</v>
      </c>
    </row>
    <row r="3" spans="1:11" ht="15.75" customHeight="1" x14ac:dyDescent="0.2">
      <c r="A3" s="7" t="s">
        <v>11</v>
      </c>
      <c r="B3" s="37">
        <v>0.224</v>
      </c>
      <c r="C3" s="37">
        <v>1.115</v>
      </c>
      <c r="D3" s="16">
        <v>2.4E-2</v>
      </c>
      <c r="E3" s="16">
        <v>0.115</v>
      </c>
      <c r="F3" s="37">
        <v>3.3000000000000002E-2</v>
      </c>
      <c r="G3" s="37">
        <v>0.12</v>
      </c>
      <c r="H3" s="37"/>
      <c r="I3" s="37"/>
      <c r="J3" s="38">
        <f>B3+D3+F3+H3</f>
        <v>0.28100000000000003</v>
      </c>
      <c r="K3" s="38">
        <f>C3+E3+G3+I3</f>
        <v>1.35</v>
      </c>
    </row>
    <row r="4" spans="1:11" ht="15.75" customHeight="1" x14ac:dyDescent="0.2">
      <c r="A4" s="7" t="s">
        <v>12</v>
      </c>
      <c r="B4" s="37">
        <v>47.835999999999999</v>
      </c>
      <c r="C4" s="37">
        <v>717.53300000000002</v>
      </c>
      <c r="D4" s="37">
        <v>43.927</v>
      </c>
      <c r="E4" s="37">
        <v>593.02</v>
      </c>
      <c r="F4" s="37">
        <v>42.692</v>
      </c>
      <c r="G4" s="37">
        <v>576.33799999999997</v>
      </c>
      <c r="H4" s="37"/>
      <c r="I4" s="37"/>
      <c r="J4" s="38">
        <f t="shared" ref="J4:J36" si="0">B4+D4+F4+H4</f>
        <v>134.45500000000001</v>
      </c>
      <c r="K4" s="38">
        <f t="shared" ref="K4:K36" si="1">C4+E4+G4+I4</f>
        <v>1886.8909999999998</v>
      </c>
    </row>
    <row r="5" spans="1:11" ht="15.75" customHeight="1" x14ac:dyDescent="0.2">
      <c r="A5" s="8" t="s">
        <v>13</v>
      </c>
      <c r="B5" s="37"/>
      <c r="C5" s="37"/>
      <c r="D5" s="37"/>
      <c r="E5" s="37"/>
      <c r="F5" s="37"/>
      <c r="G5" s="37"/>
      <c r="H5" s="37">
        <v>39.045999999999999</v>
      </c>
      <c r="I5" s="37">
        <v>175.70699999999999</v>
      </c>
      <c r="J5" s="38">
        <f t="shared" si="0"/>
        <v>39.045999999999999</v>
      </c>
      <c r="K5" s="38">
        <f t="shared" si="1"/>
        <v>175.70699999999999</v>
      </c>
    </row>
    <row r="6" spans="1:11" ht="15.75" customHeight="1" x14ac:dyDescent="0.2">
      <c r="A6" s="7" t="s">
        <v>14</v>
      </c>
      <c r="B6" s="37">
        <v>13.404999999999999</v>
      </c>
      <c r="C6" s="37">
        <v>105.229</v>
      </c>
      <c r="D6" s="37">
        <v>15.093</v>
      </c>
      <c r="E6" s="37">
        <v>175.68199999999999</v>
      </c>
      <c r="F6" s="37"/>
      <c r="G6" s="37"/>
      <c r="H6" s="37"/>
      <c r="I6" s="37"/>
      <c r="J6" s="38">
        <f t="shared" si="0"/>
        <v>28.497999999999998</v>
      </c>
      <c r="K6" s="38">
        <f t="shared" si="1"/>
        <v>280.911</v>
      </c>
    </row>
    <row r="7" spans="1:11" ht="15.75" customHeight="1" x14ac:dyDescent="0.2">
      <c r="A7" s="7" t="s">
        <v>15</v>
      </c>
      <c r="B7" s="37">
        <v>18.010000000000002</v>
      </c>
      <c r="C7" s="37">
        <v>133.876</v>
      </c>
      <c r="D7" s="37"/>
      <c r="E7" s="37"/>
      <c r="F7" s="37"/>
      <c r="G7" s="37"/>
      <c r="H7" s="37"/>
      <c r="I7" s="37"/>
      <c r="J7" s="38">
        <f t="shared" si="0"/>
        <v>18.010000000000002</v>
      </c>
      <c r="K7" s="38">
        <f t="shared" si="1"/>
        <v>133.876</v>
      </c>
    </row>
    <row r="8" spans="1:11" ht="15.75" customHeight="1" x14ac:dyDescent="0.2">
      <c r="A8" s="7" t="s">
        <v>16</v>
      </c>
      <c r="B8" s="37">
        <v>11.24</v>
      </c>
      <c r="C8" s="37">
        <v>73.709999999999994</v>
      </c>
      <c r="D8" s="37"/>
      <c r="E8" s="37"/>
      <c r="F8" s="37">
        <v>0.26</v>
      </c>
      <c r="G8" s="37">
        <v>0.98</v>
      </c>
      <c r="H8" s="37">
        <v>0.03</v>
      </c>
      <c r="I8" s="37">
        <v>0.22</v>
      </c>
      <c r="J8" s="38">
        <f t="shared" si="0"/>
        <v>11.53</v>
      </c>
      <c r="K8" s="38">
        <f t="shared" si="1"/>
        <v>74.91</v>
      </c>
    </row>
    <row r="9" spans="1:11" ht="15.75" customHeight="1" x14ac:dyDescent="0.2">
      <c r="A9" s="7" t="s">
        <v>17</v>
      </c>
      <c r="B9" s="37"/>
      <c r="C9" s="37"/>
      <c r="D9" s="37"/>
      <c r="E9" s="37"/>
      <c r="F9" s="37"/>
      <c r="G9" s="37"/>
      <c r="H9" s="37"/>
      <c r="I9" s="37"/>
      <c r="J9" s="38">
        <f t="shared" si="0"/>
        <v>0</v>
      </c>
      <c r="K9" s="38">
        <f t="shared" si="1"/>
        <v>0</v>
      </c>
    </row>
    <row r="10" spans="1:11" ht="15.75" customHeight="1" x14ac:dyDescent="0.2">
      <c r="A10" s="7" t="s">
        <v>18</v>
      </c>
      <c r="B10" s="37"/>
      <c r="C10" s="37"/>
      <c r="D10" s="37"/>
      <c r="E10" s="37"/>
      <c r="F10" s="37"/>
      <c r="G10" s="37"/>
      <c r="H10" s="37"/>
      <c r="I10" s="37"/>
      <c r="J10" s="38">
        <f t="shared" si="0"/>
        <v>0</v>
      </c>
      <c r="K10" s="38">
        <f t="shared" si="1"/>
        <v>0</v>
      </c>
    </row>
    <row r="11" spans="1:11" ht="15.75" customHeight="1" x14ac:dyDescent="0.2">
      <c r="A11" s="7" t="s">
        <v>19</v>
      </c>
      <c r="B11" s="37"/>
      <c r="C11" s="37"/>
      <c r="D11" s="37"/>
      <c r="E11" s="37"/>
      <c r="F11" s="37"/>
      <c r="G11" s="37"/>
      <c r="H11" s="37">
        <v>1.7999999999999999E-2</v>
      </c>
      <c r="I11" s="37">
        <v>0.27</v>
      </c>
      <c r="J11" s="38">
        <f t="shared" si="0"/>
        <v>1.7999999999999999E-2</v>
      </c>
      <c r="K11" s="38">
        <f t="shared" si="1"/>
        <v>0.27</v>
      </c>
    </row>
    <row r="12" spans="1:11" ht="15.75" customHeight="1" x14ac:dyDescent="0.2">
      <c r="A12" s="7" t="s">
        <v>20</v>
      </c>
      <c r="B12" s="37"/>
      <c r="C12" s="37"/>
      <c r="D12" s="37"/>
      <c r="E12" s="37"/>
      <c r="F12" s="37"/>
      <c r="G12" s="37"/>
      <c r="H12" s="37"/>
      <c r="I12" s="37"/>
      <c r="J12" s="38">
        <f t="shared" si="0"/>
        <v>0</v>
      </c>
      <c r="K12" s="38">
        <f t="shared" si="1"/>
        <v>0</v>
      </c>
    </row>
    <row r="13" spans="1:11" ht="15.75" customHeight="1" x14ac:dyDescent="0.2">
      <c r="A13" s="7" t="s">
        <v>21</v>
      </c>
      <c r="B13" s="37">
        <v>40.17</v>
      </c>
      <c r="C13" s="37">
        <v>425.1</v>
      </c>
      <c r="D13" s="37"/>
      <c r="E13" s="37"/>
      <c r="F13" s="37"/>
      <c r="G13" s="37"/>
      <c r="H13" s="37"/>
      <c r="I13" s="37"/>
      <c r="J13" s="38">
        <f t="shared" si="0"/>
        <v>40.17</v>
      </c>
      <c r="K13" s="38">
        <f t="shared" si="1"/>
        <v>425.1</v>
      </c>
    </row>
    <row r="14" spans="1:11" ht="15.75" customHeight="1" x14ac:dyDescent="0.2">
      <c r="A14" s="7" t="s">
        <v>22</v>
      </c>
      <c r="B14" s="37"/>
      <c r="C14" s="37"/>
      <c r="D14" s="37"/>
      <c r="E14" s="37"/>
      <c r="F14" s="37"/>
      <c r="G14" s="37"/>
      <c r="H14" s="37">
        <v>17.66</v>
      </c>
      <c r="I14" s="37">
        <v>214.17</v>
      </c>
      <c r="J14" s="38">
        <f t="shared" si="0"/>
        <v>17.66</v>
      </c>
      <c r="K14" s="38">
        <f t="shared" si="1"/>
        <v>214.17</v>
      </c>
    </row>
    <row r="15" spans="1:11" ht="15.75" customHeight="1" x14ac:dyDescent="0.2">
      <c r="A15" s="7" t="s">
        <v>23</v>
      </c>
      <c r="B15" s="37">
        <v>10.125999999999999</v>
      </c>
      <c r="C15" s="37">
        <v>5.47</v>
      </c>
      <c r="D15" s="37">
        <v>8.5540000000000003</v>
      </c>
      <c r="E15" s="37">
        <v>13.888999999999999</v>
      </c>
      <c r="F15" s="37">
        <v>1.419</v>
      </c>
      <c r="G15" s="37">
        <v>2.097</v>
      </c>
      <c r="H15" s="37">
        <v>2.2970000000000002</v>
      </c>
      <c r="I15" s="37">
        <v>3.581</v>
      </c>
      <c r="J15" s="38">
        <f t="shared" si="0"/>
        <v>22.396000000000001</v>
      </c>
      <c r="K15" s="38">
        <f t="shared" si="1"/>
        <v>25.036999999999999</v>
      </c>
    </row>
    <row r="16" spans="1:11" ht="15.75" customHeight="1" x14ac:dyDescent="0.2">
      <c r="A16" s="7" t="s">
        <v>24</v>
      </c>
      <c r="B16" s="37"/>
      <c r="C16" s="37"/>
      <c r="D16" s="37"/>
      <c r="E16" s="37"/>
      <c r="F16" s="37"/>
      <c r="G16" s="37"/>
      <c r="H16" s="37">
        <f>13.655+13.63181</f>
        <v>27.286809999999999</v>
      </c>
      <c r="I16" s="37">
        <f>19.55495+19.734</f>
        <v>39.28895</v>
      </c>
      <c r="J16" s="38">
        <f t="shared" si="0"/>
        <v>27.286809999999999</v>
      </c>
      <c r="K16" s="38">
        <f t="shared" si="1"/>
        <v>39.28895</v>
      </c>
    </row>
    <row r="17" spans="1:11" ht="15.75" customHeight="1" x14ac:dyDescent="0.2">
      <c r="A17" s="7" t="s">
        <v>25</v>
      </c>
      <c r="B17" s="37"/>
      <c r="C17" s="37"/>
      <c r="D17" s="37"/>
      <c r="E17" s="37"/>
      <c r="F17" s="37"/>
      <c r="G17" s="37"/>
      <c r="H17" s="37">
        <v>8.31</v>
      </c>
      <c r="I17" s="37">
        <v>86.430999999999997</v>
      </c>
      <c r="J17" s="38">
        <f t="shared" si="0"/>
        <v>8.31</v>
      </c>
      <c r="K17" s="38">
        <f t="shared" si="1"/>
        <v>86.430999999999997</v>
      </c>
    </row>
    <row r="18" spans="1:11" ht="15.75" customHeight="1" x14ac:dyDescent="0.2">
      <c r="A18" s="7" t="s">
        <v>26</v>
      </c>
      <c r="B18" s="37">
        <v>11.5</v>
      </c>
      <c r="C18" s="37">
        <v>268.39999999999998</v>
      </c>
      <c r="D18" s="37">
        <v>3</v>
      </c>
      <c r="E18" s="37">
        <v>63.6</v>
      </c>
      <c r="F18" s="37">
        <v>3.6</v>
      </c>
      <c r="G18" s="37">
        <v>65.900000000000006</v>
      </c>
      <c r="H18" s="37">
        <v>0.2</v>
      </c>
      <c r="I18" s="37">
        <v>2.7</v>
      </c>
      <c r="J18" s="38">
        <f t="shared" si="0"/>
        <v>18.3</v>
      </c>
      <c r="K18" s="38">
        <f t="shared" si="1"/>
        <v>400.59999999999997</v>
      </c>
    </row>
    <row r="19" spans="1:11" ht="15.75" customHeight="1" x14ac:dyDescent="0.2">
      <c r="A19" s="7" t="s">
        <v>27</v>
      </c>
      <c r="B19" s="37"/>
      <c r="C19" s="37"/>
      <c r="D19" s="37"/>
      <c r="E19" s="37"/>
      <c r="F19" s="37"/>
      <c r="G19" s="37"/>
      <c r="H19" s="37"/>
      <c r="I19" s="37"/>
      <c r="J19" s="38">
        <f t="shared" si="0"/>
        <v>0</v>
      </c>
      <c r="K19" s="38">
        <f t="shared" si="1"/>
        <v>0</v>
      </c>
    </row>
    <row r="20" spans="1:11" ht="15.75" customHeight="1" x14ac:dyDescent="0.2">
      <c r="A20" s="7" t="s">
        <v>28</v>
      </c>
      <c r="B20" s="37"/>
      <c r="C20" s="37"/>
      <c r="D20" s="37"/>
      <c r="E20" s="37"/>
      <c r="F20" s="37"/>
      <c r="G20" s="37"/>
      <c r="H20" s="37"/>
      <c r="I20" s="37"/>
      <c r="J20" s="38">
        <f t="shared" si="0"/>
        <v>0</v>
      </c>
      <c r="K20" s="38">
        <f t="shared" si="1"/>
        <v>0</v>
      </c>
    </row>
    <row r="21" spans="1:11" ht="15.75" customHeight="1" x14ac:dyDescent="0.2">
      <c r="A21" s="7" t="s">
        <v>29</v>
      </c>
      <c r="B21" s="37">
        <v>9.5459999999999994</v>
      </c>
      <c r="C21" s="37">
        <v>130.20699999999999</v>
      </c>
      <c r="D21" s="37">
        <v>44.197000000000003</v>
      </c>
      <c r="E21" s="37">
        <v>647.48599999999999</v>
      </c>
      <c r="F21" s="37">
        <v>1.4350000000000001</v>
      </c>
      <c r="G21" s="37">
        <v>17.335000000000001</v>
      </c>
      <c r="H21" s="37"/>
      <c r="I21" s="37"/>
      <c r="J21" s="38">
        <f t="shared" si="0"/>
        <v>55.178000000000004</v>
      </c>
      <c r="K21" s="38">
        <f t="shared" si="1"/>
        <v>795.02800000000002</v>
      </c>
    </row>
    <row r="22" spans="1:11" ht="15.75" customHeight="1" x14ac:dyDescent="0.2">
      <c r="A22" s="7" t="s">
        <v>30</v>
      </c>
      <c r="B22" s="37">
        <v>45</v>
      </c>
      <c r="C22" s="37">
        <v>290</v>
      </c>
      <c r="D22" s="37">
        <v>133</v>
      </c>
      <c r="E22" s="37">
        <v>443</v>
      </c>
      <c r="F22" s="37">
        <v>107</v>
      </c>
      <c r="G22" s="37">
        <v>535</v>
      </c>
      <c r="H22" s="37"/>
      <c r="I22" s="37"/>
      <c r="J22" s="38">
        <f t="shared" si="0"/>
        <v>285</v>
      </c>
      <c r="K22" s="38">
        <f t="shared" si="1"/>
        <v>1268</v>
      </c>
    </row>
    <row r="23" spans="1:11" ht="15.75" customHeight="1" x14ac:dyDescent="0.2">
      <c r="A23" s="25" t="s">
        <v>31</v>
      </c>
      <c r="B23" s="37">
        <v>5.0199999999999996</v>
      </c>
      <c r="C23" s="37">
        <v>34.64</v>
      </c>
      <c r="D23" s="37">
        <v>4.6500000000000004</v>
      </c>
      <c r="E23" s="37">
        <v>28.73</v>
      </c>
      <c r="F23" s="37"/>
      <c r="G23" s="37"/>
      <c r="H23" s="37"/>
      <c r="I23" s="37"/>
      <c r="J23" s="38">
        <f t="shared" si="0"/>
        <v>9.67</v>
      </c>
      <c r="K23" s="38">
        <f t="shared" si="1"/>
        <v>63.370000000000005</v>
      </c>
    </row>
    <row r="24" spans="1:11" ht="15.75" customHeight="1" x14ac:dyDescent="0.2">
      <c r="A24" s="7" t="s">
        <v>32</v>
      </c>
      <c r="B24" s="37"/>
      <c r="C24" s="37"/>
      <c r="D24" s="37"/>
      <c r="E24" s="37"/>
      <c r="F24" s="37"/>
      <c r="G24" s="37"/>
      <c r="H24" s="37">
        <v>9.7050000000000001</v>
      </c>
      <c r="I24" s="37">
        <v>43.01</v>
      </c>
      <c r="J24" s="38">
        <f t="shared" si="0"/>
        <v>9.7050000000000001</v>
      </c>
      <c r="K24" s="38">
        <f t="shared" si="1"/>
        <v>43.01</v>
      </c>
    </row>
    <row r="25" spans="1:11" ht="15.75" customHeight="1" x14ac:dyDescent="0.2">
      <c r="A25" s="7" t="s">
        <v>33</v>
      </c>
      <c r="B25" s="37">
        <v>4.8499999999999996</v>
      </c>
      <c r="C25" s="37">
        <v>24.71</v>
      </c>
      <c r="D25" s="37">
        <v>8.36</v>
      </c>
      <c r="E25" s="37">
        <v>22.23</v>
      </c>
      <c r="F25" s="37">
        <v>1.4</v>
      </c>
      <c r="G25" s="37">
        <v>4.2</v>
      </c>
      <c r="H25" s="37">
        <v>1.98</v>
      </c>
      <c r="I25" s="37">
        <v>5.95</v>
      </c>
      <c r="J25" s="38">
        <f t="shared" si="0"/>
        <v>16.59</v>
      </c>
      <c r="K25" s="38">
        <f t="shared" si="1"/>
        <v>57.09</v>
      </c>
    </row>
    <row r="26" spans="1:11" ht="15.75" customHeight="1" x14ac:dyDescent="0.2">
      <c r="A26" s="8" t="s">
        <v>34</v>
      </c>
      <c r="B26" s="37"/>
      <c r="C26" s="37"/>
      <c r="D26" s="37"/>
      <c r="E26" s="37"/>
      <c r="F26" s="37"/>
      <c r="G26" s="37"/>
      <c r="H26" s="37">
        <v>9.65</v>
      </c>
      <c r="I26" s="37">
        <v>62</v>
      </c>
      <c r="J26" s="38">
        <f t="shared" si="0"/>
        <v>9.65</v>
      </c>
      <c r="K26" s="38">
        <f t="shared" si="1"/>
        <v>62</v>
      </c>
    </row>
    <row r="27" spans="1:11" ht="15.75" customHeight="1" x14ac:dyDescent="0.2">
      <c r="A27" s="7" t="s">
        <v>214</v>
      </c>
      <c r="B27" s="37"/>
      <c r="C27" s="37"/>
      <c r="D27" s="37"/>
      <c r="E27" s="37"/>
      <c r="F27" s="37"/>
      <c r="G27" s="37"/>
      <c r="H27" s="37">
        <v>27.81</v>
      </c>
      <c r="I27" s="37">
        <v>269.02</v>
      </c>
      <c r="J27" s="38">
        <f t="shared" si="0"/>
        <v>27.81</v>
      </c>
      <c r="K27" s="38">
        <f t="shared" si="1"/>
        <v>269.02</v>
      </c>
    </row>
    <row r="28" spans="1:11" ht="15.75" customHeight="1" x14ac:dyDescent="0.2">
      <c r="A28" s="8" t="s">
        <v>186</v>
      </c>
      <c r="B28" s="37">
        <v>1.4999999999999999E-2</v>
      </c>
      <c r="C28" s="37">
        <v>8.4000000000000005E-2</v>
      </c>
      <c r="D28" s="37"/>
      <c r="E28" s="37"/>
      <c r="F28" s="37"/>
      <c r="G28" s="37"/>
      <c r="H28" s="37"/>
      <c r="I28" s="37"/>
      <c r="J28" s="38">
        <f t="shared" si="0"/>
        <v>1.4999999999999999E-2</v>
      </c>
      <c r="K28" s="38">
        <f t="shared" si="1"/>
        <v>8.4000000000000005E-2</v>
      </c>
    </row>
    <row r="29" spans="1:11" ht="15.75" customHeight="1" x14ac:dyDescent="0.2">
      <c r="A29" s="7" t="s">
        <v>35</v>
      </c>
      <c r="B29" s="37">
        <v>0.63800000000000001</v>
      </c>
      <c r="C29" s="37">
        <v>4.8600000000000003</v>
      </c>
      <c r="D29" s="37">
        <v>42.795000000000002</v>
      </c>
      <c r="E29" s="37">
        <v>915.005</v>
      </c>
      <c r="F29" s="37">
        <v>2.8570000000000002</v>
      </c>
      <c r="G29" s="37">
        <v>22.885000000000002</v>
      </c>
      <c r="H29" s="37"/>
      <c r="I29" s="37"/>
      <c r="J29" s="38">
        <f t="shared" si="0"/>
        <v>46.29</v>
      </c>
      <c r="K29" s="38">
        <f t="shared" si="1"/>
        <v>942.75</v>
      </c>
    </row>
    <row r="30" spans="1:11" ht="15.75" customHeight="1" x14ac:dyDescent="0.2">
      <c r="A30" s="7" t="s">
        <v>36</v>
      </c>
      <c r="B30" s="37">
        <v>4.4000000000000004</v>
      </c>
      <c r="C30" s="37">
        <v>15</v>
      </c>
      <c r="D30" s="37">
        <v>9</v>
      </c>
      <c r="E30" s="37">
        <v>179</v>
      </c>
      <c r="F30" s="37">
        <v>0.8</v>
      </c>
      <c r="G30" s="37">
        <v>7</v>
      </c>
      <c r="H30" s="37">
        <v>6.6</v>
      </c>
      <c r="I30" s="37">
        <v>129.5</v>
      </c>
      <c r="J30" s="38">
        <f t="shared" si="0"/>
        <v>20.8</v>
      </c>
      <c r="K30" s="38">
        <f t="shared" si="1"/>
        <v>330.5</v>
      </c>
    </row>
    <row r="31" spans="1:11" ht="15.75" customHeight="1" x14ac:dyDescent="0.2">
      <c r="A31" s="7" t="s">
        <v>37</v>
      </c>
      <c r="B31" s="37"/>
      <c r="C31" s="37"/>
      <c r="D31" s="37">
        <v>8.6319999999999997</v>
      </c>
      <c r="E31" s="37">
        <v>15.94</v>
      </c>
      <c r="F31" s="37"/>
      <c r="G31" s="37"/>
      <c r="H31" s="37"/>
      <c r="I31" s="37"/>
      <c r="J31" s="38">
        <f t="shared" si="0"/>
        <v>8.6319999999999997</v>
      </c>
      <c r="K31" s="38">
        <f t="shared" si="1"/>
        <v>15.94</v>
      </c>
    </row>
    <row r="32" spans="1:11" ht="15.75" customHeight="1" x14ac:dyDescent="0.2">
      <c r="A32" s="7" t="s">
        <v>38</v>
      </c>
      <c r="B32" s="37">
        <v>8.2100000000000009</v>
      </c>
      <c r="C32" s="37">
        <v>25.35</v>
      </c>
      <c r="D32" s="37">
        <v>3.19</v>
      </c>
      <c r="E32" s="37">
        <v>7.19</v>
      </c>
      <c r="F32" s="37"/>
      <c r="G32" s="37"/>
      <c r="H32" s="37">
        <v>0.38</v>
      </c>
      <c r="I32" s="37">
        <v>12.08</v>
      </c>
      <c r="J32" s="38">
        <f t="shared" si="0"/>
        <v>11.780000000000001</v>
      </c>
      <c r="K32" s="38">
        <f t="shared" si="1"/>
        <v>44.62</v>
      </c>
    </row>
    <row r="33" spans="1:11" ht="15.75" customHeight="1" x14ac:dyDescent="0.2">
      <c r="A33" s="7" t="s">
        <v>39</v>
      </c>
      <c r="B33" s="37">
        <v>3.25</v>
      </c>
      <c r="C33" s="37">
        <v>15.46</v>
      </c>
      <c r="D33" s="37">
        <v>4.6500000000000004</v>
      </c>
      <c r="E33" s="37">
        <v>23.59</v>
      </c>
      <c r="F33" s="37">
        <v>0.16</v>
      </c>
      <c r="G33" s="37">
        <v>0</v>
      </c>
      <c r="H33" s="37"/>
      <c r="I33" s="37"/>
      <c r="J33" s="38">
        <f t="shared" si="0"/>
        <v>8.06</v>
      </c>
      <c r="K33" s="38">
        <f t="shared" si="1"/>
        <v>39.049999999999997</v>
      </c>
    </row>
    <row r="34" spans="1:11" ht="15.75" customHeight="1" x14ac:dyDescent="0.2">
      <c r="A34" s="7" t="s">
        <v>40</v>
      </c>
      <c r="B34" s="37">
        <v>0.51100000000000001</v>
      </c>
      <c r="C34" s="37">
        <v>1.3680000000000001</v>
      </c>
      <c r="D34" s="37"/>
      <c r="E34" s="37"/>
      <c r="F34" s="37"/>
      <c r="G34" s="37"/>
      <c r="H34" s="37"/>
      <c r="I34" s="37"/>
      <c r="J34" s="38">
        <f t="shared" si="0"/>
        <v>0.51100000000000001</v>
      </c>
      <c r="K34" s="38">
        <f t="shared" si="1"/>
        <v>1.3680000000000001</v>
      </c>
    </row>
    <row r="35" spans="1:11" ht="15.75" customHeight="1" x14ac:dyDescent="0.2">
      <c r="A35" s="7" t="s">
        <v>100</v>
      </c>
      <c r="B35" s="37"/>
      <c r="C35" s="37"/>
      <c r="D35" s="37"/>
      <c r="E35" s="37"/>
      <c r="F35" s="37"/>
      <c r="G35" s="37"/>
      <c r="H35" s="37">
        <v>27.951000000000001</v>
      </c>
      <c r="I35" s="37">
        <v>138.45699999999999</v>
      </c>
      <c r="J35" s="38">
        <f t="shared" si="0"/>
        <v>27.951000000000001</v>
      </c>
      <c r="K35" s="38">
        <f t="shared" si="1"/>
        <v>138.45699999999999</v>
      </c>
    </row>
    <row r="36" spans="1:11" ht="15.75" customHeight="1" x14ac:dyDescent="0.2">
      <c r="A36" s="7" t="s">
        <v>42</v>
      </c>
      <c r="B36" s="37"/>
      <c r="C36" s="37"/>
      <c r="D36" s="37"/>
      <c r="E36" s="37"/>
      <c r="F36" s="37"/>
      <c r="G36" s="37"/>
      <c r="H36" s="37">
        <v>11.489000000000001</v>
      </c>
      <c r="I36" s="37">
        <v>107.246</v>
      </c>
      <c r="J36" s="38">
        <f t="shared" si="0"/>
        <v>11.489000000000001</v>
      </c>
      <c r="K36" s="38">
        <f t="shared" si="1"/>
        <v>107.246</v>
      </c>
    </row>
    <row r="37" spans="1:11" ht="15.75" customHeight="1" x14ac:dyDescent="0.2">
      <c r="A37" s="7"/>
      <c r="B37" s="37"/>
      <c r="C37" s="37"/>
      <c r="D37" s="37"/>
      <c r="E37" s="37"/>
      <c r="F37" s="37"/>
      <c r="G37" s="37"/>
      <c r="H37" s="37"/>
      <c r="I37" s="37"/>
      <c r="J37" s="38"/>
      <c r="K37" s="38"/>
    </row>
    <row r="38" spans="1:11" ht="15.75" customHeight="1" x14ac:dyDescent="0.2">
      <c r="A38" s="7" t="s">
        <v>9</v>
      </c>
      <c r="B38" s="38">
        <f>SUM(B3:B37)</f>
        <v>233.95099999999999</v>
      </c>
      <c r="C38" s="38">
        <f t="shared" ref="C38:K38" si="2">SUM(C3:C37)</f>
        <v>2272.1119999999996</v>
      </c>
      <c r="D38" s="38">
        <f t="shared" si="2"/>
        <v>329.072</v>
      </c>
      <c r="E38" s="38">
        <f t="shared" si="2"/>
        <v>3128.4770000000003</v>
      </c>
      <c r="F38" s="38">
        <f>SUM(F3:F37)</f>
        <v>161.65600000000001</v>
      </c>
      <c r="G38" s="38">
        <f>SUM(G3:G37)</f>
        <v>1231.855</v>
      </c>
      <c r="H38" s="38">
        <f t="shared" si="2"/>
        <v>190.41281000000001</v>
      </c>
      <c r="I38" s="38">
        <f t="shared" si="2"/>
        <v>1289.6309500000002</v>
      </c>
      <c r="J38" s="38">
        <f t="shared" si="2"/>
        <v>915.09180999999978</v>
      </c>
      <c r="K38" s="38">
        <f t="shared" si="2"/>
        <v>7922.0749500000011</v>
      </c>
    </row>
    <row r="39" spans="1:11" ht="15.75" customHeight="1" x14ac:dyDescent="0.2">
      <c r="A39" s="93" t="s">
        <v>226</v>
      </c>
    </row>
    <row r="40" spans="1:11" ht="15.75" customHeight="1" x14ac:dyDescent="0.2">
      <c r="A40" s="93" t="s">
        <v>224</v>
      </c>
    </row>
  </sheetData>
  <mergeCells count="5">
    <mergeCell ref="J1:K1"/>
    <mergeCell ref="B1:C1"/>
    <mergeCell ref="D1:E1"/>
    <mergeCell ref="F1:G1"/>
    <mergeCell ref="H1:I1"/>
  </mergeCells>
  <phoneticPr fontId="24" type="noConversion"/>
  <printOptions horizontalCentered="1" verticalCentered="1"/>
  <pageMargins left="0.25" right="0.25" top="0.25" bottom="0.25" header="0.25" footer="0.25"/>
  <pageSetup scale="80" orientation="landscape" r:id="rId1"/>
  <headerFooter alignWithMargins="0">
    <oddHeader xml:space="preserve">&amp;C&amp;"Arial,Bold"&amp;12&amp;UArea and Production of Citrus Crops 2011-12 (Final)&amp;R&amp;"Arial,Bold"&amp;8Area in '000 Ha
Prdouction in '000 MT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zoomScaleNormal="100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F44" sqref="F44"/>
    </sheetView>
  </sheetViews>
  <sheetFormatPr defaultRowHeight="17.25" customHeight="1" x14ac:dyDescent="0.2"/>
  <cols>
    <col min="1" max="1" width="21.85546875" style="16" customWidth="1"/>
    <col min="2" max="8" width="9.42578125" style="16" bestFit="1" customWidth="1"/>
    <col min="9" max="9" width="9.5703125" style="16" bestFit="1" customWidth="1"/>
    <col min="10" max="14" width="9.42578125" style="16" bestFit="1" customWidth="1"/>
    <col min="15" max="19" width="9.28515625" style="16" bestFit="1" customWidth="1"/>
    <col min="20" max="20" width="7.85546875" style="16" customWidth="1"/>
    <col min="21" max="21" width="8.7109375" style="16" customWidth="1"/>
    <col min="22" max="23" width="9.28515625" style="16" bestFit="1" customWidth="1"/>
    <col min="24" max="25" width="9.42578125" style="16" bestFit="1" customWidth="1"/>
    <col min="26" max="27" width="9.28515625" style="16" bestFit="1" customWidth="1"/>
    <col min="28" max="30" width="9.42578125" style="16" bestFit="1" customWidth="1"/>
    <col min="31" max="31" width="9.5703125" style="16" bestFit="1" customWidth="1"/>
    <col min="32" max="33" width="9.42578125" style="16" bestFit="1" customWidth="1"/>
    <col min="34" max="35" width="10.28515625" style="16" customWidth="1"/>
    <col min="36" max="36" width="9.42578125" style="16" bestFit="1" customWidth="1"/>
    <col min="37" max="37" width="9.28515625" style="16" bestFit="1" customWidth="1"/>
    <col min="38" max="38" width="8.7109375" style="16" customWidth="1"/>
    <col min="39" max="39" width="8.5703125" style="16" customWidth="1"/>
    <col min="40" max="45" width="9.28515625" style="16" bestFit="1" customWidth="1"/>
    <col min="46" max="46" width="9.42578125" style="16" bestFit="1" customWidth="1"/>
    <col min="47" max="47" width="10.42578125" style="16" bestFit="1" customWidth="1"/>
    <col min="48" max="16384" width="9.140625" style="16"/>
  </cols>
  <sheetData>
    <row r="1" spans="1:47" ht="17.25" customHeight="1" x14ac:dyDescent="0.2">
      <c r="A1" s="14" t="s">
        <v>99</v>
      </c>
      <c r="B1" s="120" t="s">
        <v>122</v>
      </c>
      <c r="C1" s="121"/>
      <c r="D1" s="112" t="s">
        <v>212</v>
      </c>
      <c r="E1" s="113"/>
      <c r="F1" s="112" t="s">
        <v>213</v>
      </c>
      <c r="G1" s="113"/>
      <c r="H1" s="112" t="s">
        <v>43</v>
      </c>
      <c r="I1" s="113"/>
      <c r="J1" s="111" t="s">
        <v>44</v>
      </c>
      <c r="K1" s="111"/>
      <c r="L1" s="111" t="s">
        <v>123</v>
      </c>
      <c r="M1" s="111"/>
      <c r="N1" s="111" t="s">
        <v>124</v>
      </c>
      <c r="O1" s="111"/>
      <c r="P1" s="111" t="s">
        <v>125</v>
      </c>
      <c r="Q1" s="111"/>
      <c r="R1" s="111" t="s">
        <v>126</v>
      </c>
      <c r="S1" s="111"/>
      <c r="T1" s="111" t="s">
        <v>127</v>
      </c>
      <c r="U1" s="111"/>
      <c r="V1" s="111" t="s">
        <v>45</v>
      </c>
      <c r="W1" s="111"/>
      <c r="X1" s="111" t="s">
        <v>48</v>
      </c>
      <c r="Y1" s="111"/>
      <c r="Z1" s="111" t="s">
        <v>219</v>
      </c>
      <c r="AA1" s="111"/>
      <c r="AB1" s="111" t="s">
        <v>46</v>
      </c>
      <c r="AC1" s="111"/>
      <c r="AD1" s="111" t="s">
        <v>49</v>
      </c>
      <c r="AE1" s="111"/>
      <c r="AF1" s="112" t="s">
        <v>128</v>
      </c>
      <c r="AG1" s="113"/>
      <c r="AH1" s="111" t="s">
        <v>129</v>
      </c>
      <c r="AI1" s="111"/>
      <c r="AJ1" s="111" t="s">
        <v>130</v>
      </c>
      <c r="AK1" s="111"/>
      <c r="AL1" s="111" t="s">
        <v>50</v>
      </c>
      <c r="AM1" s="111"/>
      <c r="AN1" s="111" t="s">
        <v>47</v>
      </c>
      <c r="AO1" s="111"/>
      <c r="AP1" s="111" t="s">
        <v>131</v>
      </c>
      <c r="AQ1" s="111"/>
      <c r="AR1" s="111" t="s">
        <v>8</v>
      </c>
      <c r="AS1" s="111"/>
      <c r="AT1" s="111" t="s">
        <v>9</v>
      </c>
      <c r="AU1" s="111"/>
    </row>
    <row r="2" spans="1:47" ht="17.25" customHeight="1" x14ac:dyDescent="0.2">
      <c r="A2" s="6"/>
      <c r="B2" s="14" t="s">
        <v>51</v>
      </c>
      <c r="C2" s="14" t="s">
        <v>10</v>
      </c>
      <c r="D2" s="14" t="s">
        <v>51</v>
      </c>
      <c r="E2" s="14" t="s">
        <v>10</v>
      </c>
      <c r="F2" s="14" t="s">
        <v>51</v>
      </c>
      <c r="G2" s="14" t="s">
        <v>10</v>
      </c>
      <c r="H2" s="14" t="s">
        <v>51</v>
      </c>
      <c r="I2" s="14" t="s">
        <v>10</v>
      </c>
      <c r="J2" s="14" t="s">
        <v>51</v>
      </c>
      <c r="K2" s="14" t="s">
        <v>10</v>
      </c>
      <c r="L2" s="14" t="s">
        <v>51</v>
      </c>
      <c r="M2" s="14" t="s">
        <v>10</v>
      </c>
      <c r="N2" s="14" t="s">
        <v>51</v>
      </c>
      <c r="O2" s="14" t="s">
        <v>10</v>
      </c>
      <c r="P2" s="14" t="s">
        <v>51</v>
      </c>
      <c r="Q2" s="14" t="s">
        <v>10</v>
      </c>
      <c r="R2" s="14" t="s">
        <v>51</v>
      </c>
      <c r="S2" s="14" t="s">
        <v>10</v>
      </c>
      <c r="T2" s="14" t="s">
        <v>51</v>
      </c>
      <c r="U2" s="14" t="s">
        <v>10</v>
      </c>
      <c r="V2" s="14" t="s">
        <v>51</v>
      </c>
      <c r="W2" s="14" t="s">
        <v>10</v>
      </c>
      <c r="X2" s="14" t="s">
        <v>51</v>
      </c>
      <c r="Y2" s="14" t="s">
        <v>10</v>
      </c>
      <c r="Z2" s="14" t="s">
        <v>51</v>
      </c>
      <c r="AA2" s="14" t="s">
        <v>10</v>
      </c>
      <c r="AB2" s="14" t="s">
        <v>51</v>
      </c>
      <c r="AC2" s="14" t="s">
        <v>10</v>
      </c>
      <c r="AD2" s="14" t="s">
        <v>51</v>
      </c>
      <c r="AE2" s="14" t="s">
        <v>10</v>
      </c>
      <c r="AF2" s="14" t="s">
        <v>51</v>
      </c>
      <c r="AG2" s="14" t="s">
        <v>10</v>
      </c>
      <c r="AH2" s="14" t="s">
        <v>51</v>
      </c>
      <c r="AI2" s="14" t="s">
        <v>10</v>
      </c>
      <c r="AJ2" s="14" t="s">
        <v>51</v>
      </c>
      <c r="AK2" s="14" t="s">
        <v>10</v>
      </c>
      <c r="AL2" s="14" t="s">
        <v>51</v>
      </c>
      <c r="AM2" s="14" t="s">
        <v>10</v>
      </c>
      <c r="AN2" s="14" t="s">
        <v>51</v>
      </c>
      <c r="AO2" s="14" t="s">
        <v>10</v>
      </c>
      <c r="AP2" s="14" t="s">
        <v>51</v>
      </c>
      <c r="AQ2" s="14" t="s">
        <v>10</v>
      </c>
      <c r="AR2" s="14" t="s">
        <v>51</v>
      </c>
      <c r="AS2" s="14" t="s">
        <v>10</v>
      </c>
      <c r="AT2" s="14" t="s">
        <v>51</v>
      </c>
      <c r="AU2" s="14" t="s">
        <v>10</v>
      </c>
    </row>
    <row r="3" spans="1:47" ht="17.25" customHeight="1" x14ac:dyDescent="0.2">
      <c r="A3" s="7" t="s">
        <v>11</v>
      </c>
      <c r="B3" s="37"/>
      <c r="C3" s="37"/>
      <c r="D3" s="37">
        <v>0.51</v>
      </c>
      <c r="E3" s="37">
        <v>1.65</v>
      </c>
      <c r="F3" s="37">
        <v>0.14000000000000001</v>
      </c>
      <c r="G3" s="37">
        <v>1.2250000000000001</v>
      </c>
      <c r="H3" s="37">
        <v>0.45</v>
      </c>
      <c r="I3" s="37">
        <v>3.5</v>
      </c>
      <c r="J3" s="37">
        <v>0.19500000000000001</v>
      </c>
      <c r="K3" s="37">
        <v>1.4350000000000001</v>
      </c>
      <c r="L3" s="37"/>
      <c r="M3" s="37"/>
      <c r="N3" s="37"/>
      <c r="O3" s="37"/>
      <c r="P3" s="37">
        <v>0.28199999999999997</v>
      </c>
      <c r="Q3" s="37">
        <v>1.75</v>
      </c>
      <c r="R3" s="37">
        <v>0.20499999999999999</v>
      </c>
      <c r="S3" s="37">
        <v>1.02</v>
      </c>
      <c r="T3" s="37">
        <v>7.4999999999999997E-2</v>
      </c>
      <c r="U3" s="37">
        <v>0.30499999999999999</v>
      </c>
      <c r="V3" s="37">
        <v>0.52300000000000002</v>
      </c>
      <c r="W3" s="37">
        <v>3.65</v>
      </c>
      <c r="X3" s="51"/>
      <c r="Y3" s="51"/>
      <c r="Z3" s="37"/>
      <c r="AA3" s="37"/>
      <c r="AB3" s="37"/>
      <c r="AC3" s="37"/>
      <c r="AD3" s="51"/>
      <c r="AE3" s="51"/>
      <c r="AF3" s="37">
        <v>0.27500000000000002</v>
      </c>
      <c r="AG3" s="37">
        <v>2</v>
      </c>
      <c r="AH3" s="37">
        <v>0.28000000000000003</v>
      </c>
      <c r="AI3" s="37">
        <v>2.52</v>
      </c>
      <c r="AJ3" s="37">
        <v>0.15</v>
      </c>
      <c r="AK3" s="37">
        <v>0.84499999999999997</v>
      </c>
      <c r="AL3" s="37">
        <v>0.26500000000000001</v>
      </c>
      <c r="AM3" s="37">
        <v>2.0459999999999998</v>
      </c>
      <c r="AN3" s="37">
        <v>0.13</v>
      </c>
      <c r="AO3" s="37">
        <v>1.1499999999999999</v>
      </c>
      <c r="AP3" s="37">
        <v>1.4999999999999999E-2</v>
      </c>
      <c r="AQ3" s="37">
        <v>0.105</v>
      </c>
      <c r="AR3" s="37">
        <f>2.545+0.27</f>
        <v>2.8149999999999999</v>
      </c>
      <c r="AS3" s="37">
        <f>19.605+0.406</f>
        <v>20.010999999999999</v>
      </c>
      <c r="AT3" s="52">
        <f>B3+D3+F3+H3+J3+L3+N3+P3+R3+T3+V3+X3+Z3+AB3+AD3+AF3+AH3+AJ3+AL3+AN3+AP3+AR3</f>
        <v>6.3100000000000005</v>
      </c>
      <c r="AU3" s="52">
        <f>C3+E3+G3+I3+K3+M3+O3+Q3+S3+U3+W3+Y3+AA3+AC3+AE3+AG3+AI3+AK3+AM3+AO3+AQ3+AS3</f>
        <v>43.211999999999996</v>
      </c>
    </row>
    <row r="4" spans="1:47" ht="17.25" customHeight="1" x14ac:dyDescent="0.2">
      <c r="A4" s="7" t="s">
        <v>12</v>
      </c>
      <c r="B4" s="37">
        <v>19.384</v>
      </c>
      <c r="C4" s="37">
        <v>232.613</v>
      </c>
      <c r="D4" s="37">
        <v>22.077000000000002</v>
      </c>
      <c r="E4" s="37">
        <v>331.15899999999999</v>
      </c>
      <c r="F4" s="37">
        <v>8.282</v>
      </c>
      <c r="G4" s="37">
        <v>124.229</v>
      </c>
      <c r="H4" s="37">
        <v>76.245999999999995</v>
      </c>
      <c r="I4" s="37">
        <v>1524.92</v>
      </c>
      <c r="J4" s="37">
        <v>28.927</v>
      </c>
      <c r="K4" s="37">
        <v>433.91</v>
      </c>
      <c r="L4" s="37"/>
      <c r="M4" s="37"/>
      <c r="N4" s="37">
        <v>9.4169999999999998</v>
      </c>
      <c r="O4" s="37">
        <v>172.51300000000001</v>
      </c>
      <c r="P4" s="37">
        <v>1.4990000000000001</v>
      </c>
      <c r="Q4" s="37">
        <v>22.481000000000002</v>
      </c>
      <c r="R4" s="37">
        <v>14.452</v>
      </c>
      <c r="S4" s="37">
        <v>289.04000000000002</v>
      </c>
      <c r="T4" s="37">
        <v>4.0979999999999999</v>
      </c>
      <c r="U4" s="37">
        <v>61.463000000000001</v>
      </c>
      <c r="V4" s="37">
        <v>80.134</v>
      </c>
      <c r="W4" s="37">
        <v>1202.0029999999999</v>
      </c>
      <c r="X4" s="42">
        <v>48.515999999999998</v>
      </c>
      <c r="Y4" s="42">
        <v>824.77300000000002</v>
      </c>
      <c r="Z4" s="37"/>
      <c r="AA4" s="37"/>
      <c r="AB4" s="37">
        <v>2.3540000000000001</v>
      </c>
      <c r="AC4" s="37">
        <v>82.394999999999996</v>
      </c>
      <c r="AD4" s="42">
        <v>4.9189999999999996</v>
      </c>
      <c r="AE4" s="42">
        <v>98.384</v>
      </c>
      <c r="AF4" s="37">
        <v>3.194</v>
      </c>
      <c r="AG4" s="37">
        <v>63.884</v>
      </c>
      <c r="AH4" s="37"/>
      <c r="AI4" s="37"/>
      <c r="AJ4" s="37">
        <v>0.48199999999999998</v>
      </c>
      <c r="AK4" s="37">
        <v>9.64</v>
      </c>
      <c r="AL4" s="37">
        <v>3.09</v>
      </c>
      <c r="AM4" s="37">
        <v>61.798999999999999</v>
      </c>
      <c r="AN4" s="37">
        <v>300.755</v>
      </c>
      <c r="AO4" s="37">
        <v>6015.1030000000001</v>
      </c>
      <c r="AP4" s="37">
        <v>10.746</v>
      </c>
      <c r="AQ4" s="37">
        <v>161.18700000000001</v>
      </c>
      <c r="AR4" s="37">
        <f>4.437+17.96</f>
        <v>22.397000000000002</v>
      </c>
      <c r="AS4" s="37">
        <f>44.374+269.405</f>
        <v>313.779</v>
      </c>
      <c r="AT4" s="52">
        <f t="shared" ref="AT4:AT36" si="0">B4+D4+F4+H4+J4+L4+N4+P4+R4+T4+V4+X4+Z4+AB4+AD4+AF4+AH4+AJ4+AL4+AN4+AP4+AR4</f>
        <v>660.96900000000005</v>
      </c>
      <c r="AU4" s="52">
        <f t="shared" ref="AU4:AU36" si="1">C4+E4+G4+I4+K4+M4+O4+Q4+S4+U4+W4+Y4+AA4+AC4+AE4+AG4+AI4+AK4+AM4+AO4+AQ4+AS4</f>
        <v>12025.275000000001</v>
      </c>
    </row>
    <row r="5" spans="1:47" ht="17.25" customHeight="1" x14ac:dyDescent="0.2">
      <c r="A5" s="8" t="s">
        <v>121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42"/>
      <c r="Y5" s="42"/>
      <c r="Z5" s="37"/>
      <c r="AA5" s="37"/>
      <c r="AB5" s="37"/>
      <c r="AC5" s="37"/>
      <c r="AD5" s="42">
        <v>4.5999999999999996</v>
      </c>
      <c r="AE5" s="42">
        <v>40</v>
      </c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>
        <v>1.74</v>
      </c>
      <c r="AS5" s="37">
        <v>43.5</v>
      </c>
      <c r="AT5" s="52">
        <f t="shared" si="0"/>
        <v>6.34</v>
      </c>
      <c r="AU5" s="52">
        <f t="shared" si="1"/>
        <v>83.5</v>
      </c>
    </row>
    <row r="6" spans="1:47" ht="17.25" customHeight="1" x14ac:dyDescent="0.2">
      <c r="A6" s="7" t="s">
        <v>14</v>
      </c>
      <c r="B6" s="37"/>
      <c r="C6" s="37"/>
      <c r="D6" s="37">
        <v>5.1180000000000003</v>
      </c>
      <c r="E6" s="37">
        <v>47.981000000000002</v>
      </c>
      <c r="F6" s="37"/>
      <c r="G6" s="37"/>
      <c r="H6" s="37">
        <v>16.48</v>
      </c>
      <c r="I6" s="37">
        <v>260.05399999999997</v>
      </c>
      <c r="J6" s="37">
        <v>30.949000000000002</v>
      </c>
      <c r="K6" s="37">
        <v>641.44899999999996</v>
      </c>
      <c r="L6" s="37"/>
      <c r="M6" s="37"/>
      <c r="N6" s="37">
        <v>4.133</v>
      </c>
      <c r="O6" s="37">
        <v>65.094999999999999</v>
      </c>
      <c r="P6" s="37">
        <v>21.283999999999999</v>
      </c>
      <c r="Q6" s="37">
        <v>337.351</v>
      </c>
      <c r="R6" s="37">
        <v>6.3959999999999999</v>
      </c>
      <c r="S6" s="37">
        <v>62.424999999999997</v>
      </c>
      <c r="T6" s="37"/>
      <c r="U6" s="37"/>
      <c r="V6" s="37">
        <v>11.294</v>
      </c>
      <c r="W6" s="37">
        <v>154.38900000000001</v>
      </c>
      <c r="X6" s="42">
        <v>8.1189999999999998</v>
      </c>
      <c r="Y6" s="42">
        <v>23.966999999999999</v>
      </c>
      <c r="Z6" s="37"/>
      <c r="AA6" s="37"/>
      <c r="AB6" s="37">
        <v>22.849</v>
      </c>
      <c r="AC6" s="37">
        <v>18.622</v>
      </c>
      <c r="AD6" s="42">
        <v>89.378</v>
      </c>
      <c r="AE6" s="42">
        <v>783.39800000000002</v>
      </c>
      <c r="AF6" s="37">
        <v>19.530999999999999</v>
      </c>
      <c r="AG6" s="37">
        <v>183.2</v>
      </c>
      <c r="AH6" s="37"/>
      <c r="AI6" s="37"/>
      <c r="AJ6" s="37">
        <v>9.2479999999999993</v>
      </c>
      <c r="AK6" s="37">
        <v>36.39</v>
      </c>
      <c r="AL6" s="37">
        <v>4.2619999999999996</v>
      </c>
      <c r="AM6" s="37">
        <v>33.499000000000002</v>
      </c>
      <c r="AN6" s="37">
        <v>16.954000000000001</v>
      </c>
      <c r="AO6" s="37">
        <v>397.74</v>
      </c>
      <c r="AP6" s="37"/>
      <c r="AQ6" s="37"/>
      <c r="AR6" s="37"/>
      <c r="AS6" s="37"/>
      <c r="AT6" s="52">
        <f t="shared" si="0"/>
        <v>265.995</v>
      </c>
      <c r="AU6" s="52">
        <f t="shared" si="1"/>
        <v>3045.5599999999995</v>
      </c>
    </row>
    <row r="7" spans="1:47" ht="17.25" customHeight="1" x14ac:dyDescent="0.2">
      <c r="A7" s="7" t="s">
        <v>15</v>
      </c>
      <c r="B7" s="37"/>
      <c r="C7" s="37"/>
      <c r="D7" s="37">
        <v>10.012</v>
      </c>
      <c r="E7" s="37">
        <v>76.838999999999999</v>
      </c>
      <c r="F7" s="37">
        <v>32.021000000000001</v>
      </c>
      <c r="G7" s="37">
        <v>703.13199999999995</v>
      </c>
      <c r="H7" s="37">
        <v>56.104999999999997</v>
      </c>
      <c r="I7" s="37">
        <v>1271.54</v>
      </c>
      <c r="J7" s="37">
        <v>39.576999999999998</v>
      </c>
      <c r="K7" s="37">
        <v>734.99</v>
      </c>
      <c r="L7" s="37"/>
      <c r="M7" s="37"/>
      <c r="N7" s="37">
        <v>4.8520000000000003</v>
      </c>
      <c r="O7" s="37">
        <v>59.353000000000002</v>
      </c>
      <c r="P7" s="37">
        <v>62.953000000000003</v>
      </c>
      <c r="Q7" s="37">
        <v>1155.1220000000001</v>
      </c>
      <c r="R7" s="37">
        <v>2.2930000000000001</v>
      </c>
      <c r="S7" s="37">
        <v>26.16</v>
      </c>
      <c r="T7" s="37">
        <v>1.274</v>
      </c>
      <c r="U7" s="37">
        <v>16.452000000000002</v>
      </c>
      <c r="V7" s="37">
        <v>58.997999999999998</v>
      </c>
      <c r="W7" s="37">
        <v>825.25900000000001</v>
      </c>
      <c r="X7" s="42">
        <v>53.807000000000002</v>
      </c>
      <c r="Y7" s="42">
        <v>1236.7370000000001</v>
      </c>
      <c r="Z7" s="37"/>
      <c r="AA7" s="37"/>
      <c r="AB7" s="37">
        <v>9.9290000000000003</v>
      </c>
      <c r="AC7" s="37">
        <v>82.141999999999996</v>
      </c>
      <c r="AD7" s="42">
        <v>315.17</v>
      </c>
      <c r="AE7" s="42">
        <v>6101.6909999999998</v>
      </c>
      <c r="AF7" s="37">
        <v>16.285</v>
      </c>
      <c r="AG7" s="37">
        <v>261.02999999999997</v>
      </c>
      <c r="AH7" s="37">
        <v>0.56299999999999994</v>
      </c>
      <c r="AI7" s="37">
        <v>8.0969999999999995</v>
      </c>
      <c r="AJ7" s="37">
        <v>0.45800000000000002</v>
      </c>
      <c r="AK7" s="37">
        <v>9.5350000000000001</v>
      </c>
      <c r="AL7" s="37"/>
      <c r="AM7" s="37"/>
      <c r="AN7" s="37">
        <v>47.176000000000002</v>
      </c>
      <c r="AO7" s="37">
        <v>1104.758</v>
      </c>
      <c r="AP7" s="37">
        <v>1.5289999999999999</v>
      </c>
      <c r="AQ7" s="37">
        <v>34.154000000000003</v>
      </c>
      <c r="AR7" s="37">
        <f>40.216+4.394+0.79+98.61</f>
        <v>144.01</v>
      </c>
      <c r="AS7" s="37">
        <f>486.032+49.213+36.911+0.044+1273.193</f>
        <v>1845.393</v>
      </c>
      <c r="AT7" s="52">
        <f t="shared" si="0"/>
        <v>857.01199999999994</v>
      </c>
      <c r="AU7" s="52">
        <f t="shared" si="1"/>
        <v>15552.384000000002</v>
      </c>
    </row>
    <row r="8" spans="1:47" ht="17.25" customHeight="1" x14ac:dyDescent="0.2">
      <c r="A8" s="7" t="s">
        <v>16</v>
      </c>
      <c r="B8" s="37">
        <v>4.87</v>
      </c>
      <c r="C8" s="37">
        <v>41.66</v>
      </c>
      <c r="D8" s="37">
        <v>6.95</v>
      </c>
      <c r="E8" s="37">
        <v>92.05</v>
      </c>
      <c r="F8" s="37">
        <v>9.9</v>
      </c>
      <c r="G8" s="37">
        <v>187.77</v>
      </c>
      <c r="H8" s="37">
        <v>28.53</v>
      </c>
      <c r="I8" s="37">
        <v>502.94</v>
      </c>
      <c r="J8" s="37">
        <v>15.54</v>
      </c>
      <c r="K8" s="37">
        <v>282.02</v>
      </c>
      <c r="L8" s="37"/>
      <c r="M8" s="37"/>
      <c r="N8" s="37">
        <v>1.38</v>
      </c>
      <c r="O8" s="37">
        <v>19.2</v>
      </c>
      <c r="P8" s="37">
        <v>18.91</v>
      </c>
      <c r="Q8" s="37">
        <v>329.98</v>
      </c>
      <c r="R8" s="37"/>
      <c r="S8" s="37"/>
      <c r="T8" s="37"/>
      <c r="U8" s="37"/>
      <c r="V8" s="37">
        <v>25.77</v>
      </c>
      <c r="W8" s="37">
        <v>252.2</v>
      </c>
      <c r="X8" s="42">
        <v>13.94</v>
      </c>
      <c r="Y8" s="42">
        <v>222.21</v>
      </c>
      <c r="Z8" s="37"/>
      <c r="AA8" s="37"/>
      <c r="AB8" s="37">
        <v>10.65</v>
      </c>
      <c r="AC8" s="37">
        <v>118.62</v>
      </c>
      <c r="AD8" s="42">
        <v>41.2</v>
      </c>
      <c r="AE8" s="42">
        <v>579.17999999999995</v>
      </c>
      <c r="AF8" s="37">
        <v>4.58</v>
      </c>
      <c r="AG8" s="37">
        <v>91.21</v>
      </c>
      <c r="AH8" s="37"/>
      <c r="AI8" s="37"/>
      <c r="AJ8" s="37">
        <v>3.55</v>
      </c>
      <c r="AK8" s="37">
        <v>35.61</v>
      </c>
      <c r="AL8" s="37"/>
      <c r="AM8" s="37"/>
      <c r="AN8" s="37">
        <v>44.57</v>
      </c>
      <c r="AO8" s="37">
        <v>718.54</v>
      </c>
      <c r="AP8" s="37"/>
      <c r="AQ8" s="37"/>
      <c r="AR8" s="37">
        <v>121.21</v>
      </c>
      <c r="AS8" s="37">
        <v>1109.44</v>
      </c>
      <c r="AT8" s="52">
        <f>B8+D8+F8+H8+J8+L8+N8+P8+R8+T8+V8+X8+Z8+AB8+AD8+AF8+AH8+AJ8+AL8+AN8+AP8+AR8</f>
        <v>351.55</v>
      </c>
      <c r="AU8" s="52">
        <f t="shared" si="1"/>
        <v>4582.63</v>
      </c>
    </row>
    <row r="9" spans="1:47" ht="17.25" customHeight="1" x14ac:dyDescent="0.2">
      <c r="A9" s="7" t="s">
        <v>17</v>
      </c>
      <c r="B9" s="37"/>
      <c r="C9" s="37"/>
      <c r="D9" s="37"/>
      <c r="E9" s="37"/>
      <c r="F9" s="37"/>
      <c r="G9" s="37"/>
      <c r="H9" s="37">
        <v>0.5</v>
      </c>
      <c r="I9" s="37">
        <v>2.2000000000000002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42"/>
      <c r="Y9" s="42"/>
      <c r="Z9" s="37"/>
      <c r="AA9" s="37"/>
      <c r="AB9" s="37"/>
      <c r="AC9" s="37"/>
      <c r="AD9" s="42"/>
      <c r="AE9" s="42"/>
      <c r="AF9" s="37"/>
      <c r="AG9" s="37"/>
      <c r="AH9" s="37"/>
      <c r="AI9" s="37"/>
      <c r="AJ9" s="37"/>
      <c r="AK9" s="37"/>
      <c r="AL9" s="37"/>
      <c r="AM9" s="37"/>
      <c r="AN9" s="37">
        <v>0.4</v>
      </c>
      <c r="AO9" s="37">
        <v>1.8</v>
      </c>
      <c r="AP9" s="37"/>
      <c r="AQ9" s="37"/>
      <c r="AR9" s="37">
        <v>0.2</v>
      </c>
      <c r="AS9" s="37">
        <v>1.5</v>
      </c>
      <c r="AT9" s="52">
        <f t="shared" si="0"/>
        <v>1.1000000000000001</v>
      </c>
      <c r="AU9" s="52">
        <f t="shared" si="1"/>
        <v>5.5</v>
      </c>
    </row>
    <row r="10" spans="1:47" ht="17.25" customHeight="1" x14ac:dyDescent="0.2">
      <c r="A10" s="7" t="s">
        <v>18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42"/>
      <c r="Y10" s="42"/>
      <c r="Z10" s="37"/>
      <c r="AA10" s="37"/>
      <c r="AB10" s="37"/>
      <c r="AC10" s="37"/>
      <c r="AD10" s="42"/>
      <c r="AE10" s="42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52">
        <f t="shared" si="0"/>
        <v>0</v>
      </c>
      <c r="AU10" s="52">
        <f t="shared" si="1"/>
        <v>0</v>
      </c>
    </row>
    <row r="11" spans="1:47" ht="17.25" customHeight="1" x14ac:dyDescent="0.2">
      <c r="A11" s="7" t="s">
        <v>19</v>
      </c>
      <c r="B11" s="37"/>
      <c r="C11" s="37"/>
      <c r="D11" s="37">
        <v>0.47</v>
      </c>
      <c r="E11" s="37">
        <v>7.0410000000000004</v>
      </c>
      <c r="F11" s="37">
        <v>2.0649999999999999</v>
      </c>
      <c r="G11" s="37">
        <v>33.042000000000002</v>
      </c>
      <c r="H11" s="37">
        <v>1.367</v>
      </c>
      <c r="I11" s="37">
        <v>26.248000000000001</v>
      </c>
      <c r="J11" s="37"/>
      <c r="K11" s="37"/>
      <c r="L11" s="37"/>
      <c r="M11" s="37"/>
      <c r="N11" s="37">
        <v>1.345</v>
      </c>
      <c r="O11" s="37">
        <v>23.010999999999999</v>
      </c>
      <c r="P11" s="37">
        <v>4.4379999999999997</v>
      </c>
      <c r="Q11" s="37">
        <v>82.546000000000006</v>
      </c>
      <c r="R11" s="37"/>
      <c r="S11" s="37"/>
      <c r="T11" s="37"/>
      <c r="U11" s="37"/>
      <c r="V11" s="37">
        <v>1.6020000000000001</v>
      </c>
      <c r="W11" s="37">
        <v>23.228999999999999</v>
      </c>
      <c r="X11" s="42">
        <v>1.298</v>
      </c>
      <c r="Y11" s="42">
        <v>22.856999999999999</v>
      </c>
      <c r="Z11" s="37"/>
      <c r="AA11" s="37"/>
      <c r="AB11" s="37">
        <v>0.61299999999999999</v>
      </c>
      <c r="AC11" s="37">
        <v>8.7070000000000007</v>
      </c>
      <c r="AD11" s="42">
        <v>0.70499999999999996</v>
      </c>
      <c r="AE11" s="42">
        <v>16.745999999999999</v>
      </c>
      <c r="AF11" s="37">
        <v>3.22</v>
      </c>
      <c r="AG11" s="37">
        <v>47.335000000000001</v>
      </c>
      <c r="AH11" s="37"/>
      <c r="AI11" s="37"/>
      <c r="AJ11" s="37"/>
      <c r="AK11" s="37"/>
      <c r="AL11" s="37"/>
      <c r="AM11" s="37"/>
      <c r="AN11" s="37">
        <v>1.425</v>
      </c>
      <c r="AO11" s="37">
        <v>26.800999999999998</v>
      </c>
      <c r="AP11" s="37"/>
      <c r="AQ11" s="37"/>
      <c r="AR11" s="37">
        <v>9.3439999999999994</v>
      </c>
      <c r="AS11" s="37">
        <v>149.114</v>
      </c>
      <c r="AT11" s="52">
        <f t="shared" si="0"/>
        <v>27.891999999999996</v>
      </c>
      <c r="AU11" s="52">
        <f t="shared" si="1"/>
        <v>466.67700000000002</v>
      </c>
    </row>
    <row r="12" spans="1:47" ht="17.25" customHeight="1" x14ac:dyDescent="0.2">
      <c r="A12" s="7" t="s">
        <v>20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42"/>
      <c r="Y12" s="42"/>
      <c r="Z12" s="37"/>
      <c r="AA12" s="37"/>
      <c r="AB12" s="37"/>
      <c r="AC12" s="37"/>
      <c r="AD12" s="42"/>
      <c r="AE12" s="42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>
        <v>6.4980000000000002</v>
      </c>
      <c r="AS12" s="37">
        <v>78.200999999999993</v>
      </c>
      <c r="AT12" s="52">
        <f t="shared" si="0"/>
        <v>6.4980000000000002</v>
      </c>
      <c r="AU12" s="52">
        <f t="shared" si="1"/>
        <v>78.200999999999993</v>
      </c>
    </row>
    <row r="13" spans="1:47" ht="17.25" customHeight="1" x14ac:dyDescent="0.2">
      <c r="A13" s="7" t="s">
        <v>21</v>
      </c>
      <c r="B13" s="37"/>
      <c r="C13" s="37"/>
      <c r="D13" s="37"/>
      <c r="E13" s="37"/>
      <c r="F13" s="37"/>
      <c r="G13" s="37"/>
      <c r="H13" s="37">
        <v>73.069999999999993</v>
      </c>
      <c r="I13" s="37">
        <v>1270.56</v>
      </c>
      <c r="J13" s="37">
        <v>28.21</v>
      </c>
      <c r="K13" s="37">
        <v>560.74</v>
      </c>
      <c r="L13" s="37"/>
      <c r="M13" s="37"/>
      <c r="N13" s="37"/>
      <c r="O13" s="37"/>
      <c r="P13" s="37">
        <v>21.11</v>
      </c>
      <c r="Q13" s="37">
        <v>390.21</v>
      </c>
      <c r="R13" s="37"/>
      <c r="S13" s="37"/>
      <c r="T13" s="37"/>
      <c r="U13" s="37"/>
      <c r="V13" s="37">
        <v>65.41</v>
      </c>
      <c r="W13" s="37">
        <v>717.25</v>
      </c>
      <c r="X13" s="42">
        <v>61.3</v>
      </c>
      <c r="Y13" s="42">
        <v>1562.2</v>
      </c>
      <c r="Z13" s="37"/>
      <c r="AA13" s="37"/>
      <c r="AB13" s="37"/>
      <c r="AC13" s="37"/>
      <c r="AD13" s="42">
        <v>80.7</v>
      </c>
      <c r="AE13" s="42">
        <v>2395.54</v>
      </c>
      <c r="AF13" s="37"/>
      <c r="AG13" s="37"/>
      <c r="AH13" s="37"/>
      <c r="AI13" s="37"/>
      <c r="AJ13" s="37"/>
      <c r="AK13" s="37"/>
      <c r="AL13" s="37"/>
      <c r="AM13" s="37"/>
      <c r="AN13" s="37">
        <v>42.09</v>
      </c>
      <c r="AO13" s="37">
        <v>1092.48</v>
      </c>
      <c r="AP13" s="37"/>
      <c r="AQ13" s="37"/>
      <c r="AR13" s="37">
        <v>145.74</v>
      </c>
      <c r="AS13" s="37">
        <v>2060.83</v>
      </c>
      <c r="AT13" s="52">
        <f t="shared" si="0"/>
        <v>517.63</v>
      </c>
      <c r="AU13" s="52">
        <f t="shared" si="1"/>
        <v>10049.81</v>
      </c>
    </row>
    <row r="14" spans="1:47" ht="17.25" customHeight="1" x14ac:dyDescent="0.2">
      <c r="A14" s="7" t="s">
        <v>22</v>
      </c>
      <c r="B14" s="37"/>
      <c r="C14" s="37"/>
      <c r="D14" s="37"/>
      <c r="E14" s="37"/>
      <c r="F14" s="37"/>
      <c r="G14" s="37"/>
      <c r="H14" s="37">
        <v>17.809999999999999</v>
      </c>
      <c r="I14" s="37">
        <v>281.51</v>
      </c>
      <c r="J14" s="37">
        <v>14.07</v>
      </c>
      <c r="K14" s="37">
        <v>269.75</v>
      </c>
      <c r="L14" s="37"/>
      <c r="M14" s="37"/>
      <c r="N14" s="37">
        <v>18.87</v>
      </c>
      <c r="O14" s="37">
        <v>366.64</v>
      </c>
      <c r="P14" s="37">
        <v>29.95</v>
      </c>
      <c r="Q14" s="37">
        <v>584.28</v>
      </c>
      <c r="R14" s="37"/>
      <c r="S14" s="37"/>
      <c r="T14" s="37"/>
      <c r="U14" s="37"/>
      <c r="V14" s="37">
        <v>18.760000000000002</v>
      </c>
      <c r="W14" s="37">
        <v>139.69</v>
      </c>
      <c r="X14" s="42">
        <v>27.45</v>
      </c>
      <c r="Y14" s="42">
        <v>589.83000000000004</v>
      </c>
      <c r="Z14" s="37"/>
      <c r="AA14" s="37"/>
      <c r="AB14" s="37">
        <v>13.81</v>
      </c>
      <c r="AC14" s="37">
        <v>91.37</v>
      </c>
      <c r="AD14" s="42">
        <v>27.82</v>
      </c>
      <c r="AE14" s="42">
        <v>618.85</v>
      </c>
      <c r="AF14" s="37">
        <v>26.78</v>
      </c>
      <c r="AG14" s="37">
        <v>424.68</v>
      </c>
      <c r="AH14" s="37"/>
      <c r="AI14" s="37"/>
      <c r="AJ14" s="37"/>
      <c r="AK14" s="37"/>
      <c r="AL14" s="37"/>
      <c r="AM14" s="37"/>
      <c r="AN14" s="37">
        <v>27.07</v>
      </c>
      <c r="AO14" s="37">
        <v>417.44</v>
      </c>
      <c r="AP14" s="37"/>
      <c r="AQ14" s="37"/>
      <c r="AR14" s="37">
        <f>15.13+71+0.5+29.69+18.06</f>
        <v>134.38</v>
      </c>
      <c r="AS14" s="37">
        <f>126.43+717.16+4.81+278.49+157.49</f>
        <v>1284.3799999999999</v>
      </c>
      <c r="AT14" s="52">
        <f t="shared" si="0"/>
        <v>356.77</v>
      </c>
      <c r="AU14" s="52">
        <f t="shared" si="1"/>
        <v>5068.4199999999992</v>
      </c>
    </row>
    <row r="15" spans="1:47" ht="17.25" customHeight="1" x14ac:dyDescent="0.2">
      <c r="A15" s="7" t="s">
        <v>23</v>
      </c>
      <c r="B15" s="37">
        <v>3.05</v>
      </c>
      <c r="C15" s="37">
        <v>36.299999999999997</v>
      </c>
      <c r="D15" s="37"/>
      <c r="E15" s="37"/>
      <c r="F15" s="37"/>
      <c r="G15" s="37"/>
      <c r="H15" s="37">
        <v>1.07</v>
      </c>
      <c r="I15" s="37">
        <v>25.56</v>
      </c>
      <c r="J15" s="37">
        <v>4.58</v>
      </c>
      <c r="K15" s="37">
        <v>148.85</v>
      </c>
      <c r="L15" s="37">
        <v>2.2599999999999998</v>
      </c>
      <c r="M15" s="37">
        <v>35.9</v>
      </c>
      <c r="N15" s="37"/>
      <c r="O15" s="37"/>
      <c r="P15" s="37">
        <v>3.1</v>
      </c>
      <c r="Q15" s="37">
        <v>63.24</v>
      </c>
      <c r="R15" s="37"/>
      <c r="S15" s="37"/>
      <c r="T15" s="37"/>
      <c r="U15" s="37"/>
      <c r="V15" s="37"/>
      <c r="W15" s="37"/>
      <c r="X15" s="42">
        <v>2.2000000000000002</v>
      </c>
      <c r="Y15" s="42">
        <v>36.299999999999997</v>
      </c>
      <c r="Z15" s="37"/>
      <c r="AA15" s="37"/>
      <c r="AB15" s="37">
        <v>23.15</v>
      </c>
      <c r="AC15" s="37">
        <v>258.35000000000002</v>
      </c>
      <c r="AD15" s="42">
        <v>16</v>
      </c>
      <c r="AE15" s="42">
        <v>206.22</v>
      </c>
      <c r="AF15" s="37"/>
      <c r="AG15" s="37"/>
      <c r="AH15" s="37"/>
      <c r="AI15" s="37"/>
      <c r="AJ15" s="37"/>
      <c r="AK15" s="37"/>
      <c r="AL15" s="37"/>
      <c r="AM15" s="37"/>
      <c r="AN15" s="37">
        <v>10</v>
      </c>
      <c r="AO15" s="37">
        <v>400</v>
      </c>
      <c r="AP15" s="37"/>
      <c r="AQ15" s="37"/>
      <c r="AR15" s="37">
        <f>1.97+18.3</f>
        <v>20.27</v>
      </c>
      <c r="AS15" s="37">
        <f>45.9+304.89</f>
        <v>350.78999999999996</v>
      </c>
      <c r="AT15" s="52">
        <f t="shared" si="0"/>
        <v>85.679999999999993</v>
      </c>
      <c r="AU15" s="52">
        <f t="shared" si="1"/>
        <v>1561.51</v>
      </c>
    </row>
    <row r="16" spans="1:47" ht="17.25" customHeight="1" x14ac:dyDescent="0.2">
      <c r="A16" s="7" t="s">
        <v>24</v>
      </c>
      <c r="B16" s="37">
        <f>1.231+0.214+0.338</f>
        <v>1.7830000000000001</v>
      </c>
      <c r="C16" s="37">
        <f>22.026+6.6+4.056</f>
        <v>32.681999999999995</v>
      </c>
      <c r="D16" s="37">
        <f>0.195+0.432</f>
        <v>0.627</v>
      </c>
      <c r="E16" s="37">
        <f>1.93+8.21</f>
        <v>10.14</v>
      </c>
      <c r="F16" s="37">
        <f>0.815+0.782</f>
        <v>1.597</v>
      </c>
      <c r="G16" s="37">
        <f>19.152+17.016</f>
        <v>36.167999999999999</v>
      </c>
      <c r="H16" s="37">
        <f>0.921+1.102</f>
        <v>2.0230000000000001</v>
      </c>
      <c r="I16" s="37">
        <f>22.14+23.097</f>
        <v>45.237000000000002</v>
      </c>
      <c r="J16" s="37">
        <f>0.724+0.25+1.514</f>
        <v>2.488</v>
      </c>
      <c r="K16" s="37">
        <f>18.1+6.25+48.876</f>
        <v>73.225999999999999</v>
      </c>
      <c r="L16" s="37">
        <f>0.249+0.8</f>
        <v>1.0489999999999999</v>
      </c>
      <c r="M16" s="37">
        <f>4.109+19.05</f>
        <v>23.158999999999999</v>
      </c>
      <c r="N16" s="37">
        <f>0.55+0.8</f>
        <v>1.35</v>
      </c>
      <c r="O16" s="37">
        <f>13.333+20</f>
        <v>33.332999999999998</v>
      </c>
      <c r="P16" s="37">
        <f>0.831+2.173+0.25</f>
        <v>3.254</v>
      </c>
      <c r="Q16" s="37">
        <f>58.012+21+6.25</f>
        <v>85.262</v>
      </c>
      <c r="R16" s="37">
        <f>0.81+0.832</f>
        <v>1.6419999999999999</v>
      </c>
      <c r="S16" s="37">
        <f>16.008+48.5</f>
        <v>64.507999999999996</v>
      </c>
      <c r="T16" s="37">
        <v>0.13</v>
      </c>
      <c r="U16" s="37">
        <v>2.9020000000000001</v>
      </c>
      <c r="V16" s="37">
        <f>0.136+2.381</f>
        <v>2.5169999999999999</v>
      </c>
      <c r="W16" s="37">
        <f>0.952+42.038</f>
        <v>42.989999999999995</v>
      </c>
      <c r="X16" s="42">
        <f>1.05+0.07+1.725</f>
        <v>2.8450000000000002</v>
      </c>
      <c r="Y16" s="42">
        <f>26.25+1.34+37.676</f>
        <v>65.266000000000005</v>
      </c>
      <c r="Z16" s="37"/>
      <c r="AA16" s="37"/>
      <c r="AB16" s="37">
        <f>1.593+1.2</f>
        <v>2.7930000000000001</v>
      </c>
      <c r="AC16" s="37">
        <f>28.081+30</f>
        <v>58.081000000000003</v>
      </c>
      <c r="AD16" s="42">
        <f>2.03+1.729+3.15</f>
        <v>6.9089999999999998</v>
      </c>
      <c r="AE16" s="42">
        <f>35.525+27.061+64.658</f>
        <v>127.244</v>
      </c>
      <c r="AF16" s="37">
        <f>0.9+2.2+0.53</f>
        <v>3.63</v>
      </c>
      <c r="AG16" s="37">
        <f>22.5+53.645+5.3</f>
        <v>81.445000000000007</v>
      </c>
      <c r="AH16" s="37">
        <f>0.34+0.289</f>
        <v>0.629</v>
      </c>
      <c r="AI16" s="37">
        <f>9.18+6.522</f>
        <v>15.702</v>
      </c>
      <c r="AJ16" s="37"/>
      <c r="AK16" s="37"/>
      <c r="AL16" s="37"/>
      <c r="AM16" s="37"/>
      <c r="AN16" s="37">
        <f>1.702+1.874</f>
        <v>3.5760000000000001</v>
      </c>
      <c r="AO16" s="37">
        <f>47.048+41.037</f>
        <v>88.085000000000008</v>
      </c>
      <c r="AP16" s="37">
        <v>0.29699999999999999</v>
      </c>
      <c r="AQ16" s="37">
        <v>6.2050000000000001</v>
      </c>
      <c r="AR16" s="37">
        <f>0.951+0.226+0.357+0.343+0.13+2.57+0.283+1.046+0.996+0.409+0.646+0.24+3.521+2.83+3.2+0.1+1.4+1+0.8+0.87+0.9+0.25+0.35+0.25+0.25</f>
        <v>23.918000000000003</v>
      </c>
      <c r="AS16" s="37">
        <f>97+71.5+48.25+0.85+35+25+20+8.7+17.9+1.79+3.75+5.15+0.75+19.086+4.205+7.039+7.102+2.565+56.706+5.367+27.21+20.139+4.41+11.828+2.54</f>
        <v>503.83699999999999</v>
      </c>
      <c r="AT16" s="52">
        <f t="shared" si="0"/>
        <v>63.056999999999988</v>
      </c>
      <c r="AU16" s="52">
        <f t="shared" si="1"/>
        <v>1395.4720000000002</v>
      </c>
    </row>
    <row r="17" spans="1:47" ht="17.25" customHeight="1" x14ac:dyDescent="0.2">
      <c r="A17" s="7" t="s">
        <v>25</v>
      </c>
      <c r="B17" s="37">
        <v>13.917</v>
      </c>
      <c r="C17" s="37">
        <v>219.20400000000001</v>
      </c>
      <c r="D17" s="37"/>
      <c r="E17" s="37"/>
      <c r="F17" s="37"/>
      <c r="G17" s="37"/>
      <c r="H17" s="37">
        <v>22.695</v>
      </c>
      <c r="I17" s="37">
        <v>295.03500000000003</v>
      </c>
      <c r="J17" s="37">
        <v>28.913</v>
      </c>
      <c r="K17" s="37">
        <v>477.07799999999997</v>
      </c>
      <c r="L17" s="37"/>
      <c r="M17" s="37"/>
      <c r="N17" s="37"/>
      <c r="O17" s="37"/>
      <c r="P17" s="37">
        <v>23.655999999999999</v>
      </c>
      <c r="Q17" s="37">
        <v>378.50400000000002</v>
      </c>
      <c r="R17" s="37"/>
      <c r="S17" s="37"/>
      <c r="T17" s="37"/>
      <c r="U17" s="37"/>
      <c r="V17" s="37">
        <v>31.765999999999998</v>
      </c>
      <c r="W17" s="37">
        <v>444.733</v>
      </c>
      <c r="X17" s="42">
        <v>15.696999999999999</v>
      </c>
      <c r="Y17" s="42">
        <v>318.18700000000001</v>
      </c>
      <c r="Z17" s="37"/>
      <c r="AA17" s="37"/>
      <c r="AB17" s="37">
        <v>22.600999999999999</v>
      </c>
      <c r="AC17" s="37">
        <v>355.96800000000002</v>
      </c>
      <c r="AD17" s="42">
        <v>45.744999999999997</v>
      </c>
      <c r="AE17" s="42">
        <v>652.78599999999994</v>
      </c>
      <c r="AF17" s="37"/>
      <c r="AG17" s="37"/>
      <c r="AH17" s="37"/>
      <c r="AI17" s="37"/>
      <c r="AJ17" s="37"/>
      <c r="AK17" s="37"/>
      <c r="AL17" s="37"/>
      <c r="AM17" s="37"/>
      <c r="AN17" s="37">
        <v>24.155000000000001</v>
      </c>
      <c r="AO17" s="37">
        <v>247.59100000000001</v>
      </c>
      <c r="AP17" s="37"/>
      <c r="AQ17" s="37"/>
      <c r="AR17" s="37">
        <v>32.095999999999997</v>
      </c>
      <c r="AS17" s="37">
        <v>513.54200000000003</v>
      </c>
      <c r="AT17" s="52">
        <f t="shared" si="0"/>
        <v>261.24099999999999</v>
      </c>
      <c r="AU17" s="52">
        <f t="shared" si="1"/>
        <v>3902.6279999999997</v>
      </c>
    </row>
    <row r="18" spans="1:47" ht="17.25" customHeight="1" x14ac:dyDescent="0.2">
      <c r="A18" s="7" t="s">
        <v>26</v>
      </c>
      <c r="B18" s="37">
        <v>12.9</v>
      </c>
      <c r="C18" s="37">
        <v>137.9</v>
      </c>
      <c r="D18" s="37">
        <v>3</v>
      </c>
      <c r="E18" s="37">
        <v>25.7</v>
      </c>
      <c r="F18" s="37"/>
      <c r="G18" s="37"/>
      <c r="H18" s="37">
        <v>17.100000000000001</v>
      </c>
      <c r="I18" s="37">
        <v>438.1</v>
      </c>
      <c r="J18" s="37">
        <v>9.6999999999999993</v>
      </c>
      <c r="K18" s="37">
        <v>194.7</v>
      </c>
      <c r="L18" s="37">
        <v>2.9</v>
      </c>
      <c r="M18" s="37">
        <v>43.6</v>
      </c>
      <c r="N18" s="37">
        <v>5.0999999999999996</v>
      </c>
      <c r="O18" s="37">
        <v>94.1</v>
      </c>
      <c r="P18" s="37">
        <v>4.7</v>
      </c>
      <c r="Q18" s="37">
        <v>81.099999999999994</v>
      </c>
      <c r="R18" s="37">
        <v>7.5</v>
      </c>
      <c r="S18" s="37">
        <v>104.1</v>
      </c>
      <c r="T18" s="37">
        <v>1</v>
      </c>
      <c r="U18" s="37">
        <v>15.6</v>
      </c>
      <c r="V18" s="37">
        <v>9.3000000000000007</v>
      </c>
      <c r="W18" s="37">
        <v>77.7</v>
      </c>
      <c r="X18" s="42">
        <v>177.2</v>
      </c>
      <c r="Y18" s="42">
        <v>2451.1999999999998</v>
      </c>
      <c r="Z18" s="37"/>
      <c r="AA18" s="37"/>
      <c r="AB18" s="37">
        <v>1.1000000000000001</v>
      </c>
      <c r="AC18" s="37">
        <v>13.1</v>
      </c>
      <c r="AD18" s="42">
        <v>45.4</v>
      </c>
      <c r="AE18" s="42">
        <v>483</v>
      </c>
      <c r="AF18" s="37">
        <v>5.6</v>
      </c>
      <c r="AG18" s="37">
        <v>63.8</v>
      </c>
      <c r="AH18" s="37">
        <v>2.1</v>
      </c>
      <c r="AI18" s="37">
        <v>48.9</v>
      </c>
      <c r="AJ18" s="37">
        <v>2.7</v>
      </c>
      <c r="AK18" s="37">
        <v>35.5</v>
      </c>
      <c r="AL18" s="37">
        <v>1</v>
      </c>
      <c r="AM18" s="37">
        <v>12.8</v>
      </c>
      <c r="AN18" s="37">
        <v>56.6</v>
      </c>
      <c r="AO18" s="37">
        <v>1986.5</v>
      </c>
      <c r="AP18" s="37">
        <v>8.6999999999999993</v>
      </c>
      <c r="AQ18" s="37">
        <v>302.7</v>
      </c>
      <c r="AR18" s="37">
        <v>81.099999999999994</v>
      </c>
      <c r="AS18" s="37">
        <v>1052.4000000000001</v>
      </c>
      <c r="AT18" s="52">
        <f>B18+D18+F18+H18+J18+L18+N18+P18+R18+T18+V18+X18+Z18+AB18+AD18+AF18+AH18+AJ18+AL18+AN18+AP18+AR18</f>
        <v>454.70000000000005</v>
      </c>
      <c r="AU18" s="52">
        <f>C18+E18+G18+I18+K18+M18+O18+Q18+S18+U18+W18+Y18+AA18+AC18+AE18+AG18+AI18+AK18+AM18+AO18+AQ18+AS18</f>
        <v>7662.5</v>
      </c>
    </row>
    <row r="19" spans="1:47" ht="17.25" customHeight="1" x14ac:dyDescent="0.2">
      <c r="A19" s="7" t="s">
        <v>27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42"/>
      <c r="Y19" s="42"/>
      <c r="Z19" s="37"/>
      <c r="AA19" s="37"/>
      <c r="AB19" s="37"/>
      <c r="AC19" s="37"/>
      <c r="AD19" s="42">
        <v>0.32</v>
      </c>
      <c r="AE19" s="42">
        <v>5.44</v>
      </c>
      <c r="AF19" s="37"/>
      <c r="AG19" s="37"/>
      <c r="AH19" s="37"/>
      <c r="AI19" s="37"/>
      <c r="AJ19" s="37">
        <v>0.36799999999999999</v>
      </c>
      <c r="AK19" s="37">
        <v>4.569</v>
      </c>
      <c r="AL19" s="37">
        <v>72.465999999999994</v>
      </c>
      <c r="AM19" s="37">
        <v>2637.1950000000002</v>
      </c>
      <c r="AN19" s="37"/>
      <c r="AO19" s="37"/>
      <c r="AP19" s="37"/>
      <c r="AQ19" s="37"/>
      <c r="AR19" s="37">
        <v>75.900000000000006</v>
      </c>
      <c r="AS19" s="37">
        <v>978.8</v>
      </c>
      <c r="AT19" s="52">
        <f t="shared" si="0"/>
        <v>149.054</v>
      </c>
      <c r="AU19" s="52">
        <f t="shared" si="1"/>
        <v>3626.0039999999999</v>
      </c>
    </row>
    <row r="20" spans="1:47" ht="17.25" customHeight="1" x14ac:dyDescent="0.2">
      <c r="A20" s="7" t="s">
        <v>28</v>
      </c>
      <c r="B20" s="37">
        <v>2.8000000000000001E-2</v>
      </c>
      <c r="C20" s="37">
        <v>2.8500000000000001E-2</v>
      </c>
      <c r="D20" s="37">
        <v>1.4E-2</v>
      </c>
      <c r="E20" s="37">
        <v>1.4E-3</v>
      </c>
      <c r="F20" s="37">
        <v>1.2999999999999999E-2</v>
      </c>
      <c r="G20" s="37">
        <v>1.8500000000000001E-3</v>
      </c>
      <c r="H20" s="37">
        <v>0.02</v>
      </c>
      <c r="I20" s="37">
        <v>2.4E-2</v>
      </c>
      <c r="J20" s="37"/>
      <c r="K20" s="37"/>
      <c r="L20" s="37">
        <v>5.0000000000000001E-3</v>
      </c>
      <c r="M20" s="37">
        <v>2.5000000000000001E-3</v>
      </c>
      <c r="N20" s="37"/>
      <c r="O20" s="37"/>
      <c r="P20" s="37"/>
      <c r="Q20" s="37"/>
      <c r="R20" s="37">
        <v>0.04</v>
      </c>
      <c r="S20" s="37">
        <v>4.8599999999999997E-3</v>
      </c>
      <c r="T20" s="37"/>
      <c r="U20" s="37"/>
      <c r="V20" s="37"/>
      <c r="W20" s="37"/>
      <c r="X20" s="42"/>
      <c r="Y20" s="42"/>
      <c r="Z20" s="37"/>
      <c r="AA20" s="37"/>
      <c r="AB20" s="37">
        <v>0.01</v>
      </c>
      <c r="AC20" s="37">
        <v>1.18E-2</v>
      </c>
      <c r="AD20" s="42"/>
      <c r="AE20" s="42"/>
      <c r="AF20" s="37"/>
      <c r="AG20" s="37"/>
      <c r="AH20" s="37">
        <v>1.7999999999999999E-2</v>
      </c>
      <c r="AI20" s="37">
        <v>1.6500000000000001E-2</v>
      </c>
      <c r="AJ20" s="37">
        <v>3.3000000000000002E-2</v>
      </c>
      <c r="AK20" s="37">
        <v>0.12</v>
      </c>
      <c r="AL20" s="37">
        <v>0.02</v>
      </c>
      <c r="AM20" s="37">
        <v>0.06</v>
      </c>
      <c r="AN20" s="37">
        <v>1.0999999999999999E-2</v>
      </c>
      <c r="AO20" s="37">
        <v>1.15E-2</v>
      </c>
      <c r="AP20" s="37">
        <v>8.0000000000000002E-3</v>
      </c>
      <c r="AQ20" s="37">
        <v>8.6E-3</v>
      </c>
      <c r="AR20" s="37">
        <f>0.005+0.025+0.0005</f>
        <v>3.0500000000000003E-2</v>
      </c>
      <c r="AS20" s="37">
        <f>0.0125+0.0006+0.0064</f>
        <v>1.95E-2</v>
      </c>
      <c r="AT20" s="52">
        <f t="shared" si="0"/>
        <v>0.2505</v>
      </c>
      <c r="AU20" s="52">
        <f t="shared" si="1"/>
        <v>0.31101000000000001</v>
      </c>
    </row>
    <row r="21" spans="1:47" ht="17.25" customHeight="1" x14ac:dyDescent="0.2">
      <c r="A21" s="7" t="s">
        <v>29</v>
      </c>
      <c r="B21" s="37"/>
      <c r="C21" s="37"/>
      <c r="D21" s="37">
        <v>4.8029999999999999</v>
      </c>
      <c r="E21" s="37">
        <v>48.895000000000003</v>
      </c>
      <c r="F21" s="37">
        <v>20.9</v>
      </c>
      <c r="G21" s="37">
        <v>417.16399999999999</v>
      </c>
      <c r="H21" s="37">
        <v>30.747</v>
      </c>
      <c r="I21" s="37">
        <v>532.53800000000001</v>
      </c>
      <c r="J21" s="37">
        <v>19.033000000000001</v>
      </c>
      <c r="K21" s="37">
        <v>376.28199999999998</v>
      </c>
      <c r="L21" s="37"/>
      <c r="M21" s="37"/>
      <c r="N21" s="37"/>
      <c r="O21" s="37"/>
      <c r="P21" s="37">
        <v>30.434000000000001</v>
      </c>
      <c r="Q21" s="37">
        <v>576.72400000000005</v>
      </c>
      <c r="R21" s="37"/>
      <c r="S21" s="37"/>
      <c r="T21" s="37">
        <v>1.962</v>
      </c>
      <c r="U21" s="37">
        <v>22.170999999999999</v>
      </c>
      <c r="V21" s="37">
        <v>23.591999999999999</v>
      </c>
      <c r="W21" s="37">
        <v>309.99900000000002</v>
      </c>
      <c r="X21" s="42">
        <v>88.070999999999998</v>
      </c>
      <c r="Y21" s="42">
        <v>1957</v>
      </c>
      <c r="Z21" s="37"/>
      <c r="AA21" s="37"/>
      <c r="AB21" s="37">
        <v>47.302</v>
      </c>
      <c r="AC21" s="37">
        <v>452.20699999999999</v>
      </c>
      <c r="AD21" s="42">
        <v>87.974999999999994</v>
      </c>
      <c r="AE21" s="42">
        <v>1816.684</v>
      </c>
      <c r="AF21" s="37"/>
      <c r="AG21" s="37"/>
      <c r="AH21" s="37"/>
      <c r="AI21" s="37"/>
      <c r="AJ21" s="37">
        <v>2.1800000000000002</v>
      </c>
      <c r="AK21" s="37">
        <v>24.067</v>
      </c>
      <c r="AL21" s="37"/>
      <c r="AM21" s="37"/>
      <c r="AN21" s="37">
        <v>55.311</v>
      </c>
      <c r="AO21" s="37">
        <v>1349.588</v>
      </c>
      <c r="AP21" s="37">
        <v>2.504</v>
      </c>
      <c r="AQ21" s="37">
        <v>190.95500000000001</v>
      </c>
      <c r="AR21" s="37">
        <f>10.9+81.277</f>
        <v>92.177000000000007</v>
      </c>
      <c r="AS21" s="37">
        <f>217.564+1792.168</f>
        <v>2009.732</v>
      </c>
      <c r="AT21" s="52">
        <f t="shared" si="0"/>
        <v>506.99099999999999</v>
      </c>
      <c r="AU21" s="52">
        <f t="shared" si="1"/>
        <v>10084.006000000001</v>
      </c>
    </row>
    <row r="22" spans="1:47" ht="17.25" customHeight="1" x14ac:dyDescent="0.2">
      <c r="A22" s="7" t="s">
        <v>30</v>
      </c>
      <c r="B22" s="37">
        <v>14</v>
      </c>
      <c r="C22" s="37">
        <v>182</v>
      </c>
      <c r="D22" s="37"/>
      <c r="E22" s="37"/>
      <c r="F22" s="37"/>
      <c r="G22" s="37"/>
      <c r="H22" s="37">
        <v>25</v>
      </c>
      <c r="I22" s="37">
        <v>525</v>
      </c>
      <c r="J22" s="37">
        <v>19</v>
      </c>
      <c r="K22" s="37">
        <v>383</v>
      </c>
      <c r="L22" s="37"/>
      <c r="M22" s="37"/>
      <c r="N22" s="37"/>
      <c r="O22" s="37"/>
      <c r="P22" s="37">
        <v>10</v>
      </c>
      <c r="Q22" s="37">
        <v>189</v>
      </c>
      <c r="R22" s="37"/>
      <c r="S22" s="37"/>
      <c r="T22" s="37"/>
      <c r="U22" s="37"/>
      <c r="V22" s="37">
        <v>21</v>
      </c>
      <c r="W22" s="37">
        <v>317</v>
      </c>
      <c r="X22" s="42">
        <v>382</v>
      </c>
      <c r="Y22" s="42">
        <v>5638</v>
      </c>
      <c r="Z22" s="37"/>
      <c r="AA22" s="37"/>
      <c r="AB22" s="37">
        <v>9</v>
      </c>
      <c r="AC22" s="37">
        <v>47</v>
      </c>
      <c r="AD22" s="42">
        <v>18</v>
      </c>
      <c r="AE22" s="42">
        <v>360</v>
      </c>
      <c r="AF22" s="37"/>
      <c r="AG22" s="37"/>
      <c r="AH22" s="37"/>
      <c r="AI22" s="37"/>
      <c r="AJ22" s="37"/>
      <c r="AK22" s="37"/>
      <c r="AL22" s="37"/>
      <c r="AM22" s="37"/>
      <c r="AN22" s="37">
        <v>48</v>
      </c>
      <c r="AO22" s="37">
        <v>1007</v>
      </c>
      <c r="AP22" s="37"/>
      <c r="AQ22" s="37"/>
      <c r="AR22" s="37">
        <v>45</v>
      </c>
      <c r="AS22" s="37">
        <v>130</v>
      </c>
      <c r="AT22" s="52">
        <f t="shared" si="0"/>
        <v>591</v>
      </c>
      <c r="AU22" s="52">
        <f t="shared" si="1"/>
        <v>8778</v>
      </c>
    </row>
    <row r="23" spans="1:47" ht="17.25" customHeight="1" x14ac:dyDescent="0.2">
      <c r="A23" s="25" t="s">
        <v>31</v>
      </c>
      <c r="B23" s="37"/>
      <c r="C23" s="37"/>
      <c r="D23" s="37"/>
      <c r="E23" s="37"/>
      <c r="F23" s="37"/>
      <c r="G23" s="37"/>
      <c r="H23" s="37"/>
      <c r="I23" s="37"/>
      <c r="J23" s="37">
        <v>5.79</v>
      </c>
      <c r="K23" s="37">
        <v>58.55</v>
      </c>
      <c r="L23" s="37"/>
      <c r="M23" s="37"/>
      <c r="N23" s="37"/>
      <c r="O23" s="37"/>
      <c r="P23" s="37">
        <v>2.46</v>
      </c>
      <c r="Q23" s="37">
        <v>24.35</v>
      </c>
      <c r="R23" s="37"/>
      <c r="S23" s="37"/>
      <c r="T23" s="37"/>
      <c r="U23" s="37"/>
      <c r="V23" s="37"/>
      <c r="W23" s="37"/>
      <c r="X23" s="42"/>
      <c r="Y23" s="42"/>
      <c r="Z23" s="37"/>
      <c r="AA23" s="37"/>
      <c r="AB23" s="37">
        <v>4.74</v>
      </c>
      <c r="AC23" s="37">
        <v>46.54</v>
      </c>
      <c r="AD23" s="42"/>
      <c r="AE23" s="42"/>
      <c r="AF23" s="37"/>
      <c r="AG23" s="37"/>
      <c r="AH23" s="37"/>
      <c r="AI23" s="37"/>
      <c r="AJ23" s="37"/>
      <c r="AK23" s="37"/>
      <c r="AL23" s="37"/>
      <c r="AM23" s="37"/>
      <c r="AN23" s="37">
        <v>2.4700000000000002</v>
      </c>
      <c r="AO23" s="37">
        <v>22.57</v>
      </c>
      <c r="AP23" s="37"/>
      <c r="AQ23" s="37"/>
      <c r="AR23" s="37">
        <v>5.37</v>
      </c>
      <c r="AS23" s="37">
        <v>48.31</v>
      </c>
      <c r="AT23" s="52">
        <f t="shared" si="0"/>
        <v>20.830000000000002</v>
      </c>
      <c r="AU23" s="52">
        <f t="shared" si="1"/>
        <v>200.32</v>
      </c>
    </row>
    <row r="24" spans="1:47" ht="17.25" customHeight="1" x14ac:dyDescent="0.2">
      <c r="A24" s="7" t="s">
        <v>32</v>
      </c>
      <c r="B24" s="37">
        <v>0.85799999999999998</v>
      </c>
      <c r="C24" s="37">
        <v>3.2440000000000002</v>
      </c>
      <c r="D24" s="37">
        <v>0.52800000000000002</v>
      </c>
      <c r="E24" s="37">
        <v>4.9210000000000003</v>
      </c>
      <c r="F24" s="37">
        <v>0.628</v>
      </c>
      <c r="G24" s="37">
        <v>7.47</v>
      </c>
      <c r="H24" s="37">
        <v>0.94499999999999995</v>
      </c>
      <c r="I24" s="37">
        <v>12.821</v>
      </c>
      <c r="J24" s="37">
        <v>1.746</v>
      </c>
      <c r="K24" s="37">
        <v>37.491999999999997</v>
      </c>
      <c r="L24" s="37">
        <v>0.42399999999999999</v>
      </c>
      <c r="M24" s="37">
        <v>3.6960000000000002</v>
      </c>
      <c r="N24" s="37">
        <v>0.69799999999999995</v>
      </c>
      <c r="O24" s="37">
        <v>9.5980000000000008</v>
      </c>
      <c r="P24" s="37">
        <v>1.0900000000000001</v>
      </c>
      <c r="Q24" s="37">
        <v>39.198</v>
      </c>
      <c r="R24" s="37">
        <v>0.48099999999999998</v>
      </c>
      <c r="S24" s="37">
        <v>3.738</v>
      </c>
      <c r="T24" s="37"/>
      <c r="U24" s="37"/>
      <c r="V24" s="37"/>
      <c r="W24" s="37"/>
      <c r="X24" s="42">
        <v>0.44800000000000001</v>
      </c>
      <c r="Y24" s="42">
        <v>3.7429999999999999</v>
      </c>
      <c r="Z24" s="37"/>
      <c r="AA24" s="37"/>
      <c r="AB24" s="37">
        <v>0.82199999999999995</v>
      </c>
      <c r="AC24" s="37">
        <v>5.3070000000000004</v>
      </c>
      <c r="AD24" s="42">
        <v>17.838999999999999</v>
      </c>
      <c r="AE24" s="42">
        <v>164.751</v>
      </c>
      <c r="AF24" s="37">
        <v>0.625</v>
      </c>
      <c r="AG24" s="37">
        <v>8.0370000000000008</v>
      </c>
      <c r="AH24" s="37">
        <v>0.66800000000000004</v>
      </c>
      <c r="AI24" s="37">
        <v>8.7420000000000009</v>
      </c>
      <c r="AJ24" s="37">
        <v>4.4029999999999996</v>
      </c>
      <c r="AK24" s="37">
        <v>14.548</v>
      </c>
      <c r="AL24" s="37">
        <v>5.3029999999999999</v>
      </c>
      <c r="AM24" s="37">
        <v>28.175000000000001</v>
      </c>
      <c r="AN24" s="37">
        <v>1.9570000000000001</v>
      </c>
      <c r="AO24" s="37">
        <v>29.53</v>
      </c>
      <c r="AP24" s="37"/>
      <c r="AQ24" s="37"/>
      <c r="AR24" s="37"/>
      <c r="AS24" s="37"/>
      <c r="AT24" s="52">
        <f t="shared" si="0"/>
        <v>39.462999999999994</v>
      </c>
      <c r="AU24" s="52">
        <f t="shared" si="1"/>
        <v>385.01099999999997</v>
      </c>
    </row>
    <row r="25" spans="1:47" ht="17.25" customHeight="1" x14ac:dyDescent="0.2">
      <c r="A25" s="7" t="s">
        <v>33</v>
      </c>
      <c r="B25" s="37">
        <v>2.31</v>
      </c>
      <c r="C25" s="37">
        <v>5.04</v>
      </c>
      <c r="D25" s="37">
        <v>3.8</v>
      </c>
      <c r="E25" s="37">
        <v>19.57</v>
      </c>
      <c r="F25" s="37">
        <v>0.1</v>
      </c>
      <c r="G25" s="37">
        <v>0.54</v>
      </c>
      <c r="H25" s="37">
        <v>2.1</v>
      </c>
      <c r="I25" s="37">
        <v>13.5</v>
      </c>
      <c r="J25" s="37">
        <v>2.8</v>
      </c>
      <c r="K25" s="37">
        <v>37.1</v>
      </c>
      <c r="L25" s="37">
        <v>0.2</v>
      </c>
      <c r="M25" s="37">
        <v>2.6</v>
      </c>
      <c r="N25" s="37">
        <v>0.35</v>
      </c>
      <c r="O25" s="37">
        <v>2.4900000000000002</v>
      </c>
      <c r="P25" s="37">
        <v>0.4</v>
      </c>
      <c r="Q25" s="37">
        <v>3.96</v>
      </c>
      <c r="R25" s="37">
        <v>0.8</v>
      </c>
      <c r="S25" s="37">
        <v>4.09</v>
      </c>
      <c r="T25" s="37">
        <v>0.17</v>
      </c>
      <c r="U25" s="37">
        <v>0.38</v>
      </c>
      <c r="V25" s="37">
        <v>2.95</v>
      </c>
      <c r="W25" s="37">
        <v>19.79</v>
      </c>
      <c r="X25" s="42">
        <v>0.48</v>
      </c>
      <c r="Y25" s="42">
        <v>4.38</v>
      </c>
      <c r="Z25" s="37"/>
      <c r="AA25" s="37"/>
      <c r="AB25" s="37">
        <v>0.48</v>
      </c>
      <c r="AC25" s="37">
        <v>2.2000000000000002</v>
      </c>
      <c r="AD25" s="42">
        <v>0.2</v>
      </c>
      <c r="AE25" s="42">
        <v>2.52</v>
      </c>
      <c r="AF25" s="37">
        <v>0.35</v>
      </c>
      <c r="AG25" s="37">
        <v>0.76</v>
      </c>
      <c r="AH25" s="37">
        <v>0.06</v>
      </c>
      <c r="AI25" s="37">
        <v>2.1000000000000001E-2</v>
      </c>
      <c r="AJ25" s="37">
        <v>0.11</v>
      </c>
      <c r="AK25" s="37">
        <v>0.71</v>
      </c>
      <c r="AL25" s="37">
        <v>7.0000000000000007E-2</v>
      </c>
      <c r="AM25" s="37">
        <v>1.01</v>
      </c>
      <c r="AN25" s="37">
        <v>0.7</v>
      </c>
      <c r="AO25" s="37">
        <v>6.42</v>
      </c>
      <c r="AP25" s="37">
        <v>0.4</v>
      </c>
      <c r="AQ25" s="37">
        <v>0.11</v>
      </c>
      <c r="AR25" s="37">
        <f>0.6+0.3+2.5+0.01+0.05+4+10.22+0.85+0.06</f>
        <v>18.59</v>
      </c>
      <c r="AS25" s="37">
        <f>4.5+2.13+5.75+0.09+0.03+66.5+8.38+6.16+0.37</f>
        <v>93.91</v>
      </c>
      <c r="AT25" s="52">
        <f t="shared" si="0"/>
        <v>37.42</v>
      </c>
      <c r="AU25" s="52">
        <f t="shared" si="1"/>
        <v>221.10099999999997</v>
      </c>
    </row>
    <row r="26" spans="1:47" ht="17.25" customHeight="1" x14ac:dyDescent="0.2">
      <c r="A26" s="8" t="s">
        <v>34</v>
      </c>
      <c r="B26" s="37">
        <v>1.163</v>
      </c>
      <c r="C26" s="37">
        <v>6.85</v>
      </c>
      <c r="D26" s="37"/>
      <c r="E26" s="37"/>
      <c r="F26" s="37"/>
      <c r="G26" s="37"/>
      <c r="H26" s="37">
        <v>0.42199999999999999</v>
      </c>
      <c r="I26" s="37">
        <v>2.3929999999999998</v>
      </c>
      <c r="J26" s="37">
        <v>1.0960000000000001</v>
      </c>
      <c r="K26" s="37">
        <v>9.0419999999999998</v>
      </c>
      <c r="L26" s="37"/>
      <c r="M26" s="37"/>
      <c r="N26" s="37">
        <v>0.28499999999999998</v>
      </c>
      <c r="O26" s="37">
        <v>1.8320000000000001</v>
      </c>
      <c r="P26" s="37">
        <v>0.41499999999999998</v>
      </c>
      <c r="Q26" s="37">
        <v>2.714</v>
      </c>
      <c r="R26" s="37"/>
      <c r="S26" s="37"/>
      <c r="T26" s="37"/>
      <c r="U26" s="37"/>
      <c r="V26" s="37">
        <v>0.38600000000000001</v>
      </c>
      <c r="W26" s="37">
        <v>2.343</v>
      </c>
      <c r="X26" s="42">
        <v>0.39600000000000002</v>
      </c>
      <c r="Y26" s="42">
        <v>3.101</v>
      </c>
      <c r="Z26" s="37"/>
      <c r="AA26" s="37"/>
      <c r="AB26" s="37">
        <v>0.98699999999999999</v>
      </c>
      <c r="AC26" s="37">
        <v>7.52</v>
      </c>
      <c r="AD26" s="42">
        <v>2.895</v>
      </c>
      <c r="AE26" s="42">
        <v>20.149000000000001</v>
      </c>
      <c r="AF26" s="37">
        <v>0.40500000000000003</v>
      </c>
      <c r="AG26" s="37">
        <v>2.754</v>
      </c>
      <c r="AH26" s="37"/>
      <c r="AI26" s="37"/>
      <c r="AJ26" s="37">
        <v>0.93700000000000006</v>
      </c>
      <c r="AK26" s="37">
        <v>9.173</v>
      </c>
      <c r="AL26" s="37"/>
      <c r="AM26" s="37"/>
      <c r="AN26" s="37">
        <f>1.315</f>
        <v>1.3149999999999999</v>
      </c>
      <c r="AO26" s="37">
        <f>4.872+3.629</f>
        <v>8.5009999999999994</v>
      </c>
      <c r="AP26" s="37"/>
      <c r="AQ26" s="37"/>
      <c r="AR26" s="37">
        <f>7.855+0.296+2.415+1.024+4.5+0.25+6</f>
        <v>22.34</v>
      </c>
      <c r="AS26" s="37">
        <f>46.502+1.814+15.021+8.099+33.75+1.468+39.6</f>
        <v>146.25400000000002</v>
      </c>
      <c r="AT26" s="52">
        <f t="shared" si="0"/>
        <v>33.042000000000002</v>
      </c>
      <c r="AU26" s="52">
        <f t="shared" si="1"/>
        <v>222.62600000000003</v>
      </c>
    </row>
    <row r="27" spans="1:47" ht="17.25" customHeight="1" x14ac:dyDescent="0.2">
      <c r="A27" s="7" t="s">
        <v>214</v>
      </c>
      <c r="B27" s="37">
        <v>11.01</v>
      </c>
      <c r="C27" s="37">
        <v>50.9</v>
      </c>
      <c r="D27" s="37">
        <v>11.48</v>
      </c>
      <c r="E27" s="37">
        <v>111.87</v>
      </c>
      <c r="F27" s="37">
        <v>10.11</v>
      </c>
      <c r="G27" s="37">
        <v>136.43</v>
      </c>
      <c r="H27" s="37">
        <v>130.08000000000001</v>
      </c>
      <c r="I27" s="37">
        <v>2186.25</v>
      </c>
      <c r="J27" s="37">
        <v>41.47</v>
      </c>
      <c r="K27" s="37">
        <v>1162.24</v>
      </c>
      <c r="L27" s="37"/>
      <c r="M27" s="37"/>
      <c r="N27" s="37"/>
      <c r="O27" s="37"/>
      <c r="P27" s="37">
        <v>45.18</v>
      </c>
      <c r="Q27" s="37">
        <v>682.64</v>
      </c>
      <c r="R27" s="37"/>
      <c r="S27" s="37"/>
      <c r="T27" s="37">
        <v>0.08</v>
      </c>
      <c r="U27" s="37">
        <v>1.1399999999999999</v>
      </c>
      <c r="V27" s="37">
        <v>67.56</v>
      </c>
      <c r="W27" s="37">
        <v>651.80999999999995</v>
      </c>
      <c r="X27" s="42">
        <v>35.159999999999997</v>
      </c>
      <c r="Y27" s="42">
        <v>418.99</v>
      </c>
      <c r="Z27" s="37"/>
      <c r="AA27" s="37"/>
      <c r="AB27" s="37">
        <v>5.88</v>
      </c>
      <c r="AC27" s="37">
        <v>52.53</v>
      </c>
      <c r="AD27" s="42">
        <v>14.19</v>
      </c>
      <c r="AE27" s="42">
        <v>201.05</v>
      </c>
      <c r="AF27" s="37">
        <v>12.14</v>
      </c>
      <c r="AG27" s="37">
        <v>132.65</v>
      </c>
      <c r="AH27" s="37"/>
      <c r="AI27" s="37"/>
      <c r="AJ27" s="37">
        <v>43.8</v>
      </c>
      <c r="AK27" s="37">
        <v>412.68</v>
      </c>
      <c r="AL27" s="37"/>
      <c r="AM27" s="37"/>
      <c r="AN27" s="37">
        <v>96.72</v>
      </c>
      <c r="AO27" s="37">
        <v>1378.39</v>
      </c>
      <c r="AP27" s="37">
        <v>12.52</v>
      </c>
      <c r="AQ27" s="37">
        <v>241.24</v>
      </c>
      <c r="AR27" s="37">
        <v>152.69</v>
      </c>
      <c r="AS27" s="37">
        <f>1694.33+5.42</f>
        <v>1699.75</v>
      </c>
      <c r="AT27" s="52">
        <f t="shared" si="0"/>
        <v>690.06999999999994</v>
      </c>
      <c r="AU27" s="52">
        <f t="shared" si="1"/>
        <v>9520.5600000000013</v>
      </c>
    </row>
    <row r="28" spans="1:47" ht="17.25" customHeight="1" x14ac:dyDescent="0.2">
      <c r="A28" s="8" t="s">
        <v>186</v>
      </c>
      <c r="B28" s="37"/>
      <c r="C28" s="37"/>
      <c r="D28" s="37">
        <v>8.9999999999999993E-3</v>
      </c>
      <c r="E28" s="37">
        <v>1.7000000000000001E-2</v>
      </c>
      <c r="F28" s="37">
        <v>9.0999999999999998E-2</v>
      </c>
      <c r="G28" s="37">
        <v>3.2000000000000001E-2</v>
      </c>
      <c r="H28" s="37">
        <v>8.1000000000000003E-2</v>
      </c>
      <c r="I28" s="37">
        <v>0.81399999999999995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>
        <v>5.0000000000000001E-3</v>
      </c>
      <c r="U28" s="37">
        <v>0.05</v>
      </c>
      <c r="V28" s="37">
        <v>8.2000000000000003E-2</v>
      </c>
      <c r="W28" s="37">
        <v>0.49199999999999999</v>
      </c>
      <c r="X28" s="42">
        <v>7.0000000000000001E-3</v>
      </c>
      <c r="Y28" s="42">
        <v>4.5999999999999999E-2</v>
      </c>
      <c r="Z28" s="37"/>
      <c r="AA28" s="37"/>
      <c r="AB28" s="37"/>
      <c r="AC28" s="37"/>
      <c r="AD28" s="42"/>
      <c r="AE28" s="42"/>
      <c r="AF28" s="37">
        <v>6.0000000000000001E-3</v>
      </c>
      <c r="AG28" s="37">
        <v>2.4E-2</v>
      </c>
      <c r="AH28" s="37"/>
      <c r="AI28" s="37"/>
      <c r="AJ28" s="37"/>
      <c r="AK28" s="37"/>
      <c r="AL28" s="37">
        <v>0.219</v>
      </c>
      <c r="AM28" s="37">
        <v>5.4649999999999999</v>
      </c>
      <c r="AN28" s="37">
        <v>1.2999999999999999E-2</v>
      </c>
      <c r="AO28" s="37">
        <v>7.1999999999999995E-2</v>
      </c>
      <c r="AP28" s="37">
        <v>0.01</v>
      </c>
      <c r="AQ28" s="37">
        <v>0.10199999999999999</v>
      </c>
      <c r="AR28" s="37">
        <f>0.022</f>
        <v>2.1999999999999999E-2</v>
      </c>
      <c r="AS28" s="37">
        <v>0.378</v>
      </c>
      <c r="AT28" s="52">
        <f t="shared" si="0"/>
        <v>0.54500000000000004</v>
      </c>
      <c r="AU28" s="52">
        <f t="shared" si="1"/>
        <v>7.492</v>
      </c>
    </row>
    <row r="29" spans="1:47" ht="17.25" customHeight="1" x14ac:dyDescent="0.2">
      <c r="A29" s="7" t="s">
        <v>35</v>
      </c>
      <c r="B29" s="37"/>
      <c r="C29" s="37"/>
      <c r="D29" s="37">
        <v>2.0099999999999998</v>
      </c>
      <c r="E29" s="37">
        <v>30.076000000000001</v>
      </c>
      <c r="F29" s="37">
        <v>7.5309999999999997</v>
      </c>
      <c r="G29" s="37">
        <v>112.68600000000001</v>
      </c>
      <c r="H29" s="37">
        <v>3.375</v>
      </c>
      <c r="I29" s="37">
        <v>71.647999999999996</v>
      </c>
      <c r="J29" s="37">
        <v>4.5030000000000001</v>
      </c>
      <c r="K29" s="37">
        <v>79.082999999999998</v>
      </c>
      <c r="L29" s="37">
        <v>0.29199999999999998</v>
      </c>
      <c r="M29" s="37">
        <v>4.3760000000000003</v>
      </c>
      <c r="N29" s="37">
        <v>5.62</v>
      </c>
      <c r="O29" s="37">
        <v>115.021</v>
      </c>
      <c r="P29" s="37">
        <v>8.8659999999999997</v>
      </c>
      <c r="Q29" s="37">
        <v>158.53200000000001</v>
      </c>
      <c r="R29" s="37">
        <v>2.12</v>
      </c>
      <c r="S29" s="37">
        <v>31.712</v>
      </c>
      <c r="T29" s="37">
        <v>4.8079999999999998</v>
      </c>
      <c r="U29" s="37">
        <v>83.409000000000006</v>
      </c>
      <c r="V29" s="37">
        <v>2.66</v>
      </c>
      <c r="W29" s="37">
        <v>27.661999999999999</v>
      </c>
      <c r="X29" s="42">
        <v>8.2360000000000007</v>
      </c>
      <c r="Y29" s="42">
        <v>182.68899999999999</v>
      </c>
      <c r="Z29" s="37"/>
      <c r="AA29" s="37"/>
      <c r="AB29" s="37">
        <v>19.701000000000001</v>
      </c>
      <c r="AC29" s="37">
        <v>200.94300000000001</v>
      </c>
      <c r="AD29" s="42">
        <v>84.114000000000004</v>
      </c>
      <c r="AE29" s="42">
        <v>2103.9740000000002</v>
      </c>
      <c r="AF29" s="37">
        <v>11.24</v>
      </c>
      <c r="AG29" s="37">
        <v>230.041</v>
      </c>
      <c r="AH29" s="37">
        <v>0.10100000000000001</v>
      </c>
      <c r="AI29" s="37">
        <v>1.514</v>
      </c>
      <c r="AJ29" s="37"/>
      <c r="AK29" s="37"/>
      <c r="AL29" s="37"/>
      <c r="AM29" s="37"/>
      <c r="AN29" s="37">
        <v>6.516</v>
      </c>
      <c r="AO29" s="37">
        <v>160.74199999999999</v>
      </c>
      <c r="AP29" s="37">
        <v>0.90700000000000003</v>
      </c>
      <c r="AQ29" s="37">
        <v>16.018000000000001</v>
      </c>
      <c r="AR29" s="37">
        <f>1.873+1.341+2.404</f>
        <v>5.6180000000000003</v>
      </c>
      <c r="AS29" s="37">
        <f>38.333+20.065+6.008</f>
        <v>64.405999999999992</v>
      </c>
      <c r="AT29" s="52">
        <f t="shared" si="0"/>
        <v>178.21800000000002</v>
      </c>
      <c r="AU29" s="52">
        <f t="shared" si="1"/>
        <v>3674.5320000000006</v>
      </c>
    </row>
    <row r="30" spans="1:47" ht="17.25" customHeight="1" x14ac:dyDescent="0.2">
      <c r="A30" s="7" t="s">
        <v>36</v>
      </c>
      <c r="B30" s="37">
        <v>1.18</v>
      </c>
      <c r="C30" s="37">
        <v>1.87</v>
      </c>
      <c r="D30" s="37">
        <v>1.04</v>
      </c>
      <c r="E30" s="37">
        <v>3.18</v>
      </c>
      <c r="F30" s="37">
        <v>4.08</v>
      </c>
      <c r="G30" s="37">
        <v>17.329999999999998</v>
      </c>
      <c r="H30" s="37">
        <v>5.3</v>
      </c>
      <c r="I30" s="37">
        <v>26.57</v>
      </c>
      <c r="J30" s="37">
        <v>1.27</v>
      </c>
      <c r="K30" s="37">
        <v>6.83</v>
      </c>
      <c r="L30" s="37"/>
      <c r="M30" s="37"/>
      <c r="N30" s="37">
        <v>1.1200000000000001</v>
      </c>
      <c r="O30" s="37">
        <v>4.26</v>
      </c>
      <c r="P30" s="37">
        <v>9</v>
      </c>
      <c r="Q30" s="37">
        <v>32.61</v>
      </c>
      <c r="R30" s="37">
        <v>2.15</v>
      </c>
      <c r="S30" s="37">
        <v>6.1</v>
      </c>
      <c r="T30" s="37">
        <v>2.12</v>
      </c>
      <c r="U30" s="37">
        <v>11.81</v>
      </c>
      <c r="V30" s="37">
        <v>3.74</v>
      </c>
      <c r="W30" s="37">
        <v>12.28</v>
      </c>
      <c r="X30" s="42">
        <v>73.459999999999994</v>
      </c>
      <c r="Y30" s="42">
        <v>664.22</v>
      </c>
      <c r="Z30" s="37"/>
      <c r="AA30" s="37"/>
      <c r="AB30" s="37">
        <v>12.52</v>
      </c>
      <c r="AC30" s="37">
        <v>22.58</v>
      </c>
      <c r="AD30" s="42">
        <v>11.86</v>
      </c>
      <c r="AE30" s="42">
        <v>178.02</v>
      </c>
      <c r="AF30" s="37">
        <v>0.64</v>
      </c>
      <c r="AG30" s="37">
        <v>2.56</v>
      </c>
      <c r="AH30" s="37">
        <v>1.1299999999999999</v>
      </c>
      <c r="AI30" s="37">
        <v>5.95</v>
      </c>
      <c r="AJ30" s="37">
        <v>0.76</v>
      </c>
      <c r="AK30" s="37">
        <v>3.08</v>
      </c>
      <c r="AL30" s="37"/>
      <c r="AM30" s="37"/>
      <c r="AN30" s="37">
        <v>17.649999999999999</v>
      </c>
      <c r="AO30" s="37">
        <v>67.97</v>
      </c>
      <c r="AP30" s="37">
        <v>3.48</v>
      </c>
      <c r="AQ30" s="37">
        <v>21.31</v>
      </c>
      <c r="AR30" s="37">
        <v>29.21</v>
      </c>
      <c r="AS30" s="37">
        <v>198.88</v>
      </c>
      <c r="AT30" s="52">
        <f t="shared" si="0"/>
        <v>181.70999999999995</v>
      </c>
      <c r="AU30" s="52">
        <f t="shared" si="1"/>
        <v>1287.4099999999999</v>
      </c>
    </row>
    <row r="31" spans="1:47" ht="17.25" customHeight="1" x14ac:dyDescent="0.2">
      <c r="A31" s="7" t="s">
        <v>37</v>
      </c>
      <c r="B31" s="37">
        <v>1.093</v>
      </c>
      <c r="C31" s="37">
        <v>5.351</v>
      </c>
      <c r="D31" s="37">
        <v>0.314</v>
      </c>
      <c r="E31" s="37">
        <v>1.9059999999999999</v>
      </c>
      <c r="F31" s="37">
        <v>0.17199999999999999</v>
      </c>
      <c r="G31" s="37">
        <v>1.3939999999999999</v>
      </c>
      <c r="H31" s="37">
        <v>0.253</v>
      </c>
      <c r="I31" s="37">
        <v>1.63</v>
      </c>
      <c r="J31" s="37">
        <v>1.194</v>
      </c>
      <c r="K31" s="37">
        <v>7.0739999999999998</v>
      </c>
      <c r="L31" s="37">
        <v>0.03</v>
      </c>
      <c r="M31" s="37">
        <v>9.1999999999999998E-2</v>
      </c>
      <c r="N31" s="37">
        <v>0.35399999999999998</v>
      </c>
      <c r="O31" s="37">
        <v>2.7679999999999998</v>
      </c>
      <c r="P31" s="37">
        <v>0.749</v>
      </c>
      <c r="Q31" s="37">
        <v>3.9980000000000002</v>
      </c>
      <c r="R31" s="37">
        <v>6.0999999999999999E-2</v>
      </c>
      <c r="S31" s="37">
        <v>0.27700000000000002</v>
      </c>
      <c r="T31" s="37"/>
      <c r="U31" s="37"/>
      <c r="V31" s="37">
        <v>1.1140000000000001</v>
      </c>
      <c r="W31" s="37">
        <v>7.351</v>
      </c>
      <c r="X31" s="42">
        <v>0.30299999999999999</v>
      </c>
      <c r="Y31" s="42">
        <v>1.64</v>
      </c>
      <c r="Z31" s="37"/>
      <c r="AA31" s="37"/>
      <c r="AB31" s="37">
        <v>1.974</v>
      </c>
      <c r="AC31" s="37">
        <v>8.766</v>
      </c>
      <c r="AD31" s="42">
        <f>5.148+4.62</f>
        <v>9.7680000000000007</v>
      </c>
      <c r="AE31" s="42">
        <f>23.062+24.029</f>
        <v>47.091000000000001</v>
      </c>
      <c r="AF31" s="37">
        <v>0.72899999999999998</v>
      </c>
      <c r="AG31" s="37">
        <v>5.3</v>
      </c>
      <c r="AH31" s="37"/>
      <c r="AI31" s="37"/>
      <c r="AJ31" s="37"/>
      <c r="AK31" s="37"/>
      <c r="AL31" s="37"/>
      <c r="AM31" s="37"/>
      <c r="AN31" s="37">
        <v>0.95099999999999996</v>
      </c>
      <c r="AO31" s="37">
        <v>8.2530000000000001</v>
      </c>
      <c r="AP31" s="37"/>
      <c r="AQ31" s="37"/>
      <c r="AR31" s="37">
        <f>0.132+0.091+2.349+2.399+0.324+0.676</f>
        <v>5.9710000000000001</v>
      </c>
      <c r="AS31" s="37">
        <f>0.646+0.318+8.417+10.72+1.199+3.461</f>
        <v>24.760999999999999</v>
      </c>
      <c r="AT31" s="52">
        <f t="shared" si="0"/>
        <v>25.03</v>
      </c>
      <c r="AU31" s="52">
        <f t="shared" si="1"/>
        <v>127.65199999999999</v>
      </c>
    </row>
    <row r="32" spans="1:47" ht="17.25" customHeight="1" x14ac:dyDescent="0.2">
      <c r="A32" s="7" t="s">
        <v>38</v>
      </c>
      <c r="B32" s="37">
        <v>2.63</v>
      </c>
      <c r="C32" s="37">
        <v>30.2</v>
      </c>
      <c r="D32" s="37">
        <v>1.72</v>
      </c>
      <c r="E32" s="37">
        <v>22.78</v>
      </c>
      <c r="F32" s="37">
        <v>0.2</v>
      </c>
      <c r="G32" s="37">
        <v>3.12</v>
      </c>
      <c r="H32" s="37">
        <v>12.91</v>
      </c>
      <c r="I32" s="37">
        <v>219.8</v>
      </c>
      <c r="J32" s="37">
        <v>1.46</v>
      </c>
      <c r="K32" s="37">
        <v>84.87</v>
      </c>
      <c r="L32" s="37"/>
      <c r="M32" s="37"/>
      <c r="N32" s="37">
        <v>4</v>
      </c>
      <c r="O32" s="37">
        <v>108.76</v>
      </c>
      <c r="P32" s="37">
        <v>0.77</v>
      </c>
      <c r="Q32" s="37">
        <v>14.35</v>
      </c>
      <c r="R32" s="37">
        <v>1.07</v>
      </c>
      <c r="S32" s="37">
        <v>9.86</v>
      </c>
      <c r="T32" s="37">
        <v>0.2</v>
      </c>
      <c r="U32" s="37">
        <v>5.66</v>
      </c>
      <c r="V32" s="37"/>
      <c r="W32" s="37"/>
      <c r="X32" s="42">
        <v>37.119999999999997</v>
      </c>
      <c r="Y32" s="42">
        <v>556.45000000000005</v>
      </c>
      <c r="Z32" s="37"/>
      <c r="AA32" s="37"/>
      <c r="AB32" s="37"/>
      <c r="AC32" s="37"/>
      <c r="AD32" s="42">
        <v>4.91</v>
      </c>
      <c r="AE32" s="42">
        <v>104.89</v>
      </c>
      <c r="AF32" s="37">
        <v>0.77</v>
      </c>
      <c r="AG32" s="37">
        <v>17</v>
      </c>
      <c r="AH32" s="37">
        <v>1.53</v>
      </c>
      <c r="AI32" s="37">
        <v>37.340000000000003</v>
      </c>
      <c r="AJ32" s="37">
        <v>0.83</v>
      </c>
      <c r="AK32" s="37">
        <v>13.37</v>
      </c>
      <c r="AL32" s="37">
        <v>140</v>
      </c>
      <c r="AM32" s="37">
        <v>5964.49</v>
      </c>
      <c r="AN32" s="37">
        <v>28.26</v>
      </c>
      <c r="AO32" s="37">
        <v>605.44000000000005</v>
      </c>
      <c r="AP32" s="37">
        <v>4.07</v>
      </c>
      <c r="AQ32" s="37">
        <v>126.24</v>
      </c>
      <c r="AR32" s="37">
        <f>40.22+1.38+22.61</f>
        <v>64.210000000000008</v>
      </c>
      <c r="AS32" s="37">
        <f>39.93+1087.62+16.32</f>
        <v>1143.8699999999999</v>
      </c>
      <c r="AT32" s="52">
        <f t="shared" si="0"/>
        <v>306.65999999999997</v>
      </c>
      <c r="AU32" s="52">
        <f t="shared" si="1"/>
        <v>9068.489999999998</v>
      </c>
    </row>
    <row r="33" spans="1:47" ht="17.25" customHeight="1" x14ac:dyDescent="0.2">
      <c r="A33" s="7" t="s">
        <v>39</v>
      </c>
      <c r="B33" s="37"/>
      <c r="C33" s="37"/>
      <c r="D33" s="37">
        <v>0.76</v>
      </c>
      <c r="E33" s="37">
        <v>7.12</v>
      </c>
      <c r="F33" s="37">
        <v>1.77</v>
      </c>
      <c r="G33" s="37">
        <v>36.49</v>
      </c>
      <c r="H33" s="37">
        <v>1.62</v>
      </c>
      <c r="I33" s="37">
        <v>30.17</v>
      </c>
      <c r="J33" s="37">
        <v>2.59</v>
      </c>
      <c r="K33" s="37">
        <v>67.150000000000006</v>
      </c>
      <c r="L33" s="37">
        <v>7.0000000000000007E-2</v>
      </c>
      <c r="M33" s="37">
        <v>0.56999999999999995</v>
      </c>
      <c r="N33" s="37">
        <v>0.31</v>
      </c>
      <c r="O33" s="37">
        <v>3.75</v>
      </c>
      <c r="P33" s="37">
        <v>2.19</v>
      </c>
      <c r="Q33" s="37">
        <v>45.02</v>
      </c>
      <c r="R33" s="37">
        <v>0.56000000000000005</v>
      </c>
      <c r="S33" s="37">
        <v>4.13</v>
      </c>
      <c r="T33" s="37"/>
      <c r="U33" s="37"/>
      <c r="V33" s="37"/>
      <c r="W33" s="37"/>
      <c r="X33" s="42"/>
      <c r="Y33" s="42"/>
      <c r="Z33" s="37"/>
      <c r="AA33" s="37"/>
      <c r="AB33" s="37"/>
      <c r="AC33" s="37"/>
      <c r="AD33" s="42">
        <v>6.9</v>
      </c>
      <c r="AE33" s="42">
        <v>122.96</v>
      </c>
      <c r="AF33" s="37">
        <v>2.5499999999999998</v>
      </c>
      <c r="AG33" s="37">
        <v>49.91</v>
      </c>
      <c r="AH33" s="37"/>
      <c r="AI33" s="37"/>
      <c r="AJ33" s="37"/>
      <c r="AK33" s="37"/>
      <c r="AL33" s="37"/>
      <c r="AM33" s="37"/>
      <c r="AN33" s="37">
        <v>1.58</v>
      </c>
      <c r="AO33" s="37">
        <v>38.659999999999997</v>
      </c>
      <c r="AP33" s="37"/>
      <c r="AQ33" s="37"/>
      <c r="AR33" s="37">
        <f>0.45+12.85</f>
        <v>13.299999999999999</v>
      </c>
      <c r="AS33" s="37">
        <f>4.87+141.75</f>
        <v>146.62</v>
      </c>
      <c r="AT33" s="52">
        <f t="shared" si="0"/>
        <v>34.200000000000003</v>
      </c>
      <c r="AU33" s="52">
        <f t="shared" si="1"/>
        <v>552.54999999999995</v>
      </c>
    </row>
    <row r="34" spans="1:47" ht="17.25" customHeight="1" x14ac:dyDescent="0.2">
      <c r="A34" s="7" t="s">
        <v>40</v>
      </c>
      <c r="B34" s="37"/>
      <c r="C34" s="37"/>
      <c r="D34" s="37">
        <v>1.423</v>
      </c>
      <c r="E34" s="37">
        <v>23.332000000000001</v>
      </c>
      <c r="F34" s="37">
        <v>5.84</v>
      </c>
      <c r="G34" s="37">
        <v>165.91300000000001</v>
      </c>
      <c r="H34" s="37">
        <v>2.895</v>
      </c>
      <c r="I34" s="37">
        <v>90.795000000000002</v>
      </c>
      <c r="J34" s="37">
        <v>1.984</v>
      </c>
      <c r="K34" s="37">
        <v>62.643999999999998</v>
      </c>
      <c r="L34" s="37"/>
      <c r="M34" s="37"/>
      <c r="N34" s="37">
        <v>3.0339999999999998</v>
      </c>
      <c r="O34" s="37">
        <v>71.558000000000007</v>
      </c>
      <c r="P34" s="37">
        <v>9.9079999999999995</v>
      </c>
      <c r="Q34" s="37">
        <v>205.68199999999999</v>
      </c>
      <c r="R34" s="37"/>
      <c r="S34" s="37"/>
      <c r="T34" s="37">
        <v>21.928999999999998</v>
      </c>
      <c r="U34" s="37">
        <v>570.154</v>
      </c>
      <c r="V34" s="37">
        <v>11.493</v>
      </c>
      <c r="W34" s="37">
        <v>135.96100000000001</v>
      </c>
      <c r="X34" s="42">
        <v>23.690999999999999</v>
      </c>
      <c r="Y34" s="42">
        <v>383.471</v>
      </c>
      <c r="Z34" s="37">
        <v>1.1890000000000001</v>
      </c>
      <c r="AA34" s="37">
        <v>28.332000000000001</v>
      </c>
      <c r="AB34" s="37">
        <v>161.678</v>
      </c>
      <c r="AC34" s="37">
        <v>1602.8</v>
      </c>
      <c r="AD34" s="42">
        <v>567.66399999999999</v>
      </c>
      <c r="AE34" s="42">
        <v>14125.075000000001</v>
      </c>
      <c r="AF34" s="37">
        <v>2.5819999999999999</v>
      </c>
      <c r="AG34" s="37">
        <v>65.519000000000005</v>
      </c>
      <c r="AH34" s="37">
        <v>3.9780000000000002</v>
      </c>
      <c r="AI34" s="37">
        <v>148.762</v>
      </c>
      <c r="AJ34" s="37">
        <v>17.395</v>
      </c>
      <c r="AK34" s="37">
        <v>226.03100000000001</v>
      </c>
      <c r="AL34" s="37"/>
      <c r="AM34" s="37"/>
      <c r="AN34" s="37">
        <v>6.6829999999999998</v>
      </c>
      <c r="AO34" s="37">
        <v>265.27199999999999</v>
      </c>
      <c r="AP34" s="37">
        <v>8.7210000000000001</v>
      </c>
      <c r="AQ34" s="37">
        <v>392.44499999999999</v>
      </c>
      <c r="AR34" s="37"/>
      <c r="AS34" s="37"/>
      <c r="AT34" s="52">
        <f t="shared" si="0"/>
        <v>852.08699999999988</v>
      </c>
      <c r="AU34" s="52">
        <f t="shared" si="1"/>
        <v>18563.745999999999</v>
      </c>
    </row>
    <row r="35" spans="1:47" ht="17.25" customHeight="1" x14ac:dyDescent="0.2">
      <c r="A35" s="7" t="s">
        <v>100</v>
      </c>
      <c r="B35" s="37">
        <v>5.4420000000000002</v>
      </c>
      <c r="C35" s="37">
        <v>40.054000000000002</v>
      </c>
      <c r="D35" s="37"/>
      <c r="E35" s="37"/>
      <c r="F35" s="37"/>
      <c r="G35" s="37"/>
      <c r="H35" s="37">
        <v>2.3260000000000001</v>
      </c>
      <c r="I35" s="37">
        <v>27.045999999999999</v>
      </c>
      <c r="J35" s="37">
        <v>5.7539999999999996</v>
      </c>
      <c r="K35" s="37">
        <v>72.700999999999993</v>
      </c>
      <c r="L35" s="37">
        <v>2.3959999999999999</v>
      </c>
      <c r="M35" s="37">
        <v>13.481999999999999</v>
      </c>
      <c r="N35" s="37"/>
      <c r="O35" s="37"/>
      <c r="P35" s="37">
        <v>2.7509999999999999</v>
      </c>
      <c r="Q35" s="37">
        <v>36.670999999999999</v>
      </c>
      <c r="R35" s="37"/>
      <c r="S35" s="37"/>
      <c r="T35" s="37"/>
      <c r="U35" s="37"/>
      <c r="V35" s="37">
        <v>3.339</v>
      </c>
      <c r="W35" s="37">
        <v>27.907</v>
      </c>
      <c r="X35" s="42">
        <v>3.8130000000000002</v>
      </c>
      <c r="Y35" s="42">
        <v>39.267000000000003</v>
      </c>
      <c r="Z35" s="37"/>
      <c r="AA35" s="37"/>
      <c r="AB35" s="37">
        <v>11.646000000000001</v>
      </c>
      <c r="AC35" s="37">
        <v>78.05</v>
      </c>
      <c r="AD35" s="42">
        <v>25.033999999999999</v>
      </c>
      <c r="AE35" s="42">
        <v>433.82100000000003</v>
      </c>
      <c r="AF35" s="37">
        <v>4.6630000000000003</v>
      </c>
      <c r="AG35" s="37">
        <v>57.966999999999999</v>
      </c>
      <c r="AH35" s="37"/>
      <c r="AI35" s="37"/>
      <c r="AJ35" s="37"/>
      <c r="AK35" s="37"/>
      <c r="AL35" s="37"/>
      <c r="AM35" s="37"/>
      <c r="AN35" s="37">
        <v>8.7880000000000003</v>
      </c>
      <c r="AO35" s="37">
        <v>102.395</v>
      </c>
      <c r="AP35" s="37"/>
      <c r="AQ35" s="37"/>
      <c r="AR35" s="37">
        <f>12.038+1.298</f>
        <v>13.336</v>
      </c>
      <c r="AS35" s="37">
        <f>128.581+8.763</f>
        <v>137.34399999999999</v>
      </c>
      <c r="AT35" s="52">
        <f t="shared" si="0"/>
        <v>89.287999999999997</v>
      </c>
      <c r="AU35" s="52">
        <f t="shared" si="1"/>
        <v>1066.7049999999999</v>
      </c>
    </row>
    <row r="36" spans="1:47" ht="17.25" customHeight="1" x14ac:dyDescent="0.2">
      <c r="A36" s="7" t="s">
        <v>42</v>
      </c>
      <c r="B36" s="37">
        <v>22.821999999999999</v>
      </c>
      <c r="C36" s="37">
        <v>125.521</v>
      </c>
      <c r="D36" s="37"/>
      <c r="E36" s="37"/>
      <c r="F36" s="37"/>
      <c r="G36" s="37"/>
      <c r="H36" s="37">
        <v>160.023</v>
      </c>
      <c r="I36" s="37">
        <v>2945.73</v>
      </c>
      <c r="J36" s="37">
        <v>76.783000000000001</v>
      </c>
      <c r="K36" s="37">
        <v>2149.9110000000001</v>
      </c>
      <c r="L36" s="37"/>
      <c r="M36" s="37"/>
      <c r="N36" s="37"/>
      <c r="O36" s="37"/>
      <c r="P36" s="37">
        <v>71.438000000000002</v>
      </c>
      <c r="Q36" s="37">
        <v>1821.662</v>
      </c>
      <c r="R36" s="37"/>
      <c r="S36" s="37"/>
      <c r="T36" s="37"/>
      <c r="U36" s="37"/>
      <c r="V36" s="37">
        <v>74.379000000000005</v>
      </c>
      <c r="W36" s="37">
        <v>863.50199999999995</v>
      </c>
      <c r="X36" s="42">
        <v>21.677</v>
      </c>
      <c r="Y36" s="42">
        <v>304.56200000000001</v>
      </c>
      <c r="Z36" s="37"/>
      <c r="AA36" s="37"/>
      <c r="AB36" s="37">
        <v>21.652000000000001</v>
      </c>
      <c r="AC36" s="37">
        <v>130.99700000000001</v>
      </c>
      <c r="AD36" s="42">
        <v>376.75099999999998</v>
      </c>
      <c r="AE36" s="42">
        <v>9693.33</v>
      </c>
      <c r="AF36" s="37">
        <v>40.49</v>
      </c>
      <c r="AG36" s="37">
        <v>494.79300000000001</v>
      </c>
      <c r="AH36" s="37"/>
      <c r="AI36" s="37"/>
      <c r="AJ36" s="37">
        <v>22.983000000000001</v>
      </c>
      <c r="AK36" s="37">
        <v>236.958</v>
      </c>
      <c r="AL36" s="37"/>
      <c r="AM36" s="37"/>
      <c r="AN36" s="37">
        <v>55.225000000000001</v>
      </c>
      <c r="AO36" s="37">
        <v>1104.4970000000001</v>
      </c>
      <c r="AP36" s="37">
        <v>16.678999999999998</v>
      </c>
      <c r="AQ36" s="37">
        <v>234.673</v>
      </c>
      <c r="AR36" s="37">
        <f>169.063+200.973</f>
        <v>370.036</v>
      </c>
      <c r="AS36" s="37">
        <f>2164.005+1145.545</f>
        <v>3309.55</v>
      </c>
      <c r="AT36" s="52">
        <f t="shared" si="0"/>
        <v>1330.9379999999999</v>
      </c>
      <c r="AU36" s="52">
        <f t="shared" si="1"/>
        <v>23415.685999999998</v>
      </c>
    </row>
    <row r="37" spans="1:47" ht="17.25" customHeight="1" x14ac:dyDescent="0.2">
      <c r="A37" s="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52"/>
      <c r="AU37" s="52"/>
    </row>
    <row r="38" spans="1:47" ht="17.25" customHeight="1" x14ac:dyDescent="0.2">
      <c r="A38" s="7" t="s">
        <v>9</v>
      </c>
      <c r="B38" s="38">
        <f>SUM(B3:B37)</f>
        <v>118.44000000000003</v>
      </c>
      <c r="C38" s="38">
        <f t="shared" ref="C38:AU38" si="2">SUM(C3:C37)</f>
        <v>1151.4175</v>
      </c>
      <c r="D38" s="38">
        <f t="shared" si="2"/>
        <v>76.66500000000002</v>
      </c>
      <c r="E38" s="38">
        <f t="shared" si="2"/>
        <v>866.22840000000008</v>
      </c>
      <c r="F38" s="38">
        <f t="shared" si="2"/>
        <v>105.43999999999998</v>
      </c>
      <c r="G38" s="38">
        <f t="shared" si="2"/>
        <v>1984.1368499999996</v>
      </c>
      <c r="H38" s="38">
        <f t="shared" si="2"/>
        <v>691.54300000000012</v>
      </c>
      <c r="I38" s="38">
        <f t="shared" si="2"/>
        <v>12634.132999999998</v>
      </c>
      <c r="J38" s="38">
        <f t="shared" si="2"/>
        <v>389.62200000000001</v>
      </c>
      <c r="K38" s="38">
        <f t="shared" si="2"/>
        <v>8412.1169999999984</v>
      </c>
      <c r="L38" s="38">
        <f t="shared" si="2"/>
        <v>9.6260000000000012</v>
      </c>
      <c r="M38" s="38">
        <f t="shared" si="2"/>
        <v>127.47749999999998</v>
      </c>
      <c r="N38" s="38">
        <f t="shared" si="2"/>
        <v>62.217999999999996</v>
      </c>
      <c r="O38" s="38">
        <f t="shared" si="2"/>
        <v>1153.2819999999999</v>
      </c>
      <c r="P38" s="38">
        <f t="shared" si="2"/>
        <v>390.78699999999992</v>
      </c>
      <c r="Q38" s="38">
        <f t="shared" si="2"/>
        <v>7348.9370000000017</v>
      </c>
      <c r="R38" s="38">
        <f t="shared" si="2"/>
        <v>39.769999999999996</v>
      </c>
      <c r="S38" s="38">
        <f t="shared" si="2"/>
        <v>607.1648600000002</v>
      </c>
      <c r="T38" s="38">
        <f t="shared" si="2"/>
        <v>37.850999999999999</v>
      </c>
      <c r="U38" s="38">
        <f t="shared" si="2"/>
        <v>791.49599999999998</v>
      </c>
      <c r="V38" s="38">
        <f t="shared" si="2"/>
        <v>518.36900000000003</v>
      </c>
      <c r="W38" s="38">
        <f t="shared" si="2"/>
        <v>6259.1900000000005</v>
      </c>
      <c r="X38" s="38">
        <f t="shared" si="2"/>
        <v>1087.2339999999999</v>
      </c>
      <c r="Y38" s="38">
        <f t="shared" si="2"/>
        <v>17511.085999999999</v>
      </c>
      <c r="Z38" s="38">
        <f t="shared" si="2"/>
        <v>1.1890000000000001</v>
      </c>
      <c r="AA38" s="38">
        <f t="shared" si="2"/>
        <v>28.332000000000001</v>
      </c>
      <c r="AB38" s="38">
        <f t="shared" si="2"/>
        <v>408.24099999999999</v>
      </c>
      <c r="AC38" s="38">
        <f t="shared" si="2"/>
        <v>3744.8067999999998</v>
      </c>
      <c r="AD38" s="38">
        <f t="shared" si="2"/>
        <v>1906.9660000000001</v>
      </c>
      <c r="AE38" s="38">
        <f t="shared" si="2"/>
        <v>41482.794000000002</v>
      </c>
      <c r="AF38" s="38">
        <f t="shared" si="2"/>
        <v>160.28499999999997</v>
      </c>
      <c r="AG38" s="38">
        <f t="shared" si="2"/>
        <v>2285.8989999999999</v>
      </c>
      <c r="AH38" s="38">
        <f t="shared" si="2"/>
        <v>11.057</v>
      </c>
      <c r="AI38" s="38">
        <f t="shared" si="2"/>
        <v>277.56450000000001</v>
      </c>
      <c r="AJ38" s="38">
        <f t="shared" si="2"/>
        <v>110.387</v>
      </c>
      <c r="AK38" s="38">
        <f t="shared" si="2"/>
        <v>1072.8260000000002</v>
      </c>
      <c r="AL38" s="38">
        <f t="shared" si="2"/>
        <v>226.69499999999999</v>
      </c>
      <c r="AM38" s="38">
        <f t="shared" si="2"/>
        <v>8746.5390000000007</v>
      </c>
      <c r="AN38" s="38">
        <f t="shared" si="2"/>
        <v>907.05100000000027</v>
      </c>
      <c r="AO38" s="38">
        <f t="shared" si="2"/>
        <v>18653.299499999997</v>
      </c>
      <c r="AP38" s="38">
        <f t="shared" si="2"/>
        <v>70.585999999999999</v>
      </c>
      <c r="AQ38" s="38">
        <f t="shared" si="2"/>
        <v>1727.4525999999998</v>
      </c>
      <c r="AR38" s="38">
        <f t="shared" si="2"/>
        <v>1659.5184999999999</v>
      </c>
      <c r="AS38" s="38">
        <f t="shared" si="2"/>
        <v>19459.301499999998</v>
      </c>
      <c r="AT38" s="52">
        <f t="shared" si="2"/>
        <v>8989.5404999999973</v>
      </c>
      <c r="AU38" s="52">
        <f t="shared" si="2"/>
        <v>156325.48100999999</v>
      </c>
    </row>
    <row r="39" spans="1:47" ht="17.25" customHeight="1" x14ac:dyDescent="0.2">
      <c r="A39" s="93" t="s">
        <v>226</v>
      </c>
    </row>
    <row r="40" spans="1:47" ht="17.25" customHeight="1" x14ac:dyDescent="0.2">
      <c r="A40" s="93" t="s">
        <v>224</v>
      </c>
    </row>
  </sheetData>
  <mergeCells count="23">
    <mergeCell ref="AD1:AE1"/>
    <mergeCell ref="AF1:AG1"/>
    <mergeCell ref="AT1:AU1"/>
    <mergeCell ref="AH1:AI1"/>
    <mergeCell ref="AJ1:AK1"/>
    <mergeCell ref="AL1:AM1"/>
    <mergeCell ref="AN1:AO1"/>
    <mergeCell ref="AP1:AQ1"/>
    <mergeCell ref="AR1:AS1"/>
    <mergeCell ref="R1:S1"/>
    <mergeCell ref="T1:U1"/>
    <mergeCell ref="Z1:AA1"/>
    <mergeCell ref="AB1:AC1"/>
    <mergeCell ref="V1:W1"/>
    <mergeCell ref="X1:Y1"/>
    <mergeCell ref="J1:K1"/>
    <mergeCell ref="L1:M1"/>
    <mergeCell ref="N1:O1"/>
    <mergeCell ref="P1:Q1"/>
    <mergeCell ref="B1:C1"/>
    <mergeCell ref="D1:E1"/>
    <mergeCell ref="F1:G1"/>
    <mergeCell ref="H1:I1"/>
  </mergeCells>
  <phoneticPr fontId="24" type="noConversion"/>
  <printOptions horizontalCentered="1" verticalCentered="1"/>
  <pageMargins left="0.5" right="0.5" top="0.5" bottom="0.25" header="0.5" footer="0.25"/>
  <pageSetup scale="75" orientation="landscape" r:id="rId1"/>
  <headerFooter alignWithMargins="0">
    <oddHeader xml:space="preserve">&amp;C&amp;"Arial,Bold"&amp;12&amp;UArea and Production of Vegetables Crops 2011-12 (Final)&amp;R&amp;"Arial,Bold"&amp;8Area in '000 Ha 
Production in '000 MT </oddHeader>
  </headerFooter>
  <colBreaks count="2" manualBreakCount="2">
    <brk id="17" max="1048575" man="1"/>
    <brk id="3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44" sqref="H44"/>
    </sheetView>
  </sheetViews>
  <sheetFormatPr defaultRowHeight="12.75" x14ac:dyDescent="0.2"/>
  <cols>
    <col min="1" max="1" width="22.42578125" style="18" customWidth="1"/>
    <col min="2" max="9" width="9.28515625" style="18" bestFit="1" customWidth="1"/>
    <col min="10" max="10" width="9.7109375" style="18" bestFit="1" customWidth="1"/>
    <col min="11" max="11" width="11.140625" style="18" bestFit="1" customWidth="1"/>
    <col min="12" max="16384" width="9.140625" style="18"/>
  </cols>
  <sheetData>
    <row r="1" spans="1:11" x14ac:dyDescent="0.2">
      <c r="A1" s="14" t="s">
        <v>99</v>
      </c>
      <c r="B1" s="122" t="s">
        <v>132</v>
      </c>
      <c r="C1" s="122"/>
      <c r="D1" s="111" t="s">
        <v>133</v>
      </c>
      <c r="E1" s="111"/>
      <c r="F1" s="111" t="s">
        <v>134</v>
      </c>
      <c r="G1" s="111"/>
      <c r="H1" s="111" t="s">
        <v>135</v>
      </c>
      <c r="I1" s="111"/>
      <c r="J1" s="111" t="s">
        <v>9</v>
      </c>
      <c r="K1" s="111"/>
    </row>
    <row r="2" spans="1:11" x14ac:dyDescent="0.2">
      <c r="A2" s="6"/>
      <c r="B2" s="14" t="s">
        <v>51</v>
      </c>
      <c r="C2" s="14" t="s">
        <v>10</v>
      </c>
      <c r="D2" s="14" t="s">
        <v>51</v>
      </c>
      <c r="E2" s="14" t="s">
        <v>10</v>
      </c>
      <c r="F2" s="14" t="s">
        <v>51</v>
      </c>
      <c r="G2" s="14" t="s">
        <v>10</v>
      </c>
      <c r="H2" s="14" t="s">
        <v>51</v>
      </c>
      <c r="I2" s="14" t="s">
        <v>10</v>
      </c>
      <c r="J2" s="14" t="s">
        <v>51</v>
      </c>
      <c r="K2" s="14" t="s">
        <v>10</v>
      </c>
    </row>
    <row r="3" spans="1:11" x14ac:dyDescent="0.2">
      <c r="A3" s="7" t="s">
        <v>11</v>
      </c>
      <c r="B3" s="33">
        <v>4.22</v>
      </c>
      <c r="C3" s="33">
        <v>5.95</v>
      </c>
      <c r="D3" s="33">
        <v>1.2</v>
      </c>
      <c r="E3" s="33">
        <v>0.35</v>
      </c>
      <c r="F3" s="33"/>
      <c r="G3" s="33"/>
      <c r="H3" s="33">
        <v>21.8</v>
      </c>
      <c r="I3" s="33">
        <v>72.25</v>
      </c>
      <c r="J3" s="34">
        <f>B3+D3+F3+H3</f>
        <v>27.22</v>
      </c>
      <c r="K3" s="34">
        <f>C3+E3+G3+I3</f>
        <v>78.55</v>
      </c>
    </row>
    <row r="4" spans="1:11" x14ac:dyDescent="0.2">
      <c r="A4" s="7" t="s">
        <v>12</v>
      </c>
      <c r="B4" s="33">
        <v>5.319</v>
      </c>
      <c r="C4" s="33">
        <v>8.51</v>
      </c>
      <c r="D4" s="33">
        <v>183.95</v>
      </c>
      <c r="E4" s="33">
        <v>113.6</v>
      </c>
      <c r="F4" s="33">
        <v>18.71</v>
      </c>
      <c r="G4" s="33">
        <v>4</v>
      </c>
      <c r="H4" s="33">
        <v>142.02500000000001</v>
      </c>
      <c r="I4" s="33">
        <v>1270</v>
      </c>
      <c r="J4" s="34">
        <f t="shared" ref="J4:J36" si="0">B4+D4+F4+H4</f>
        <v>350.00400000000002</v>
      </c>
      <c r="K4" s="34">
        <f t="shared" ref="K4:K36" si="1">C4+E4+G4+I4</f>
        <v>1396.11</v>
      </c>
    </row>
    <row r="5" spans="1:11" ht="13.5" customHeight="1" x14ac:dyDescent="0.2">
      <c r="A5" s="8" t="s">
        <v>13</v>
      </c>
      <c r="B5" s="33"/>
      <c r="C5" s="33"/>
      <c r="D5" s="33"/>
      <c r="E5" s="33"/>
      <c r="F5" s="33"/>
      <c r="G5" s="33"/>
      <c r="H5" s="33"/>
      <c r="I5" s="33"/>
      <c r="J5" s="34">
        <f t="shared" si="0"/>
        <v>0</v>
      </c>
      <c r="K5" s="34">
        <f t="shared" si="1"/>
        <v>0</v>
      </c>
    </row>
    <row r="6" spans="1:11" x14ac:dyDescent="0.2">
      <c r="A6" s="7" t="s">
        <v>14</v>
      </c>
      <c r="B6" s="33">
        <v>73.14</v>
      </c>
      <c r="C6" s="33">
        <v>72.849999999999994</v>
      </c>
      <c r="D6" s="33">
        <v>0.6</v>
      </c>
      <c r="E6" s="33">
        <v>0.5</v>
      </c>
      <c r="F6" s="33"/>
      <c r="G6" s="33"/>
      <c r="H6" s="33">
        <v>20.78</v>
      </c>
      <c r="I6" s="33">
        <v>194.81</v>
      </c>
      <c r="J6" s="34">
        <f t="shared" si="0"/>
        <v>94.52</v>
      </c>
      <c r="K6" s="34">
        <f t="shared" si="1"/>
        <v>268.15999999999997</v>
      </c>
    </row>
    <row r="7" spans="1:11" x14ac:dyDescent="0.2">
      <c r="A7" s="7" t="s">
        <v>15</v>
      </c>
      <c r="B7" s="33"/>
      <c r="C7" s="33"/>
      <c r="D7" s="33"/>
      <c r="E7" s="33"/>
      <c r="F7" s="33"/>
      <c r="G7" s="33"/>
      <c r="H7" s="33">
        <v>15.24</v>
      </c>
      <c r="I7" s="33">
        <v>97.536000000000001</v>
      </c>
      <c r="J7" s="34">
        <f t="shared" si="0"/>
        <v>15.24</v>
      </c>
      <c r="K7" s="34">
        <f t="shared" si="1"/>
        <v>97.536000000000001</v>
      </c>
    </row>
    <row r="8" spans="1:11" x14ac:dyDescent="0.2">
      <c r="A8" s="7" t="s">
        <v>16</v>
      </c>
      <c r="B8" s="33"/>
      <c r="C8" s="33"/>
      <c r="D8" s="33">
        <v>13.5</v>
      </c>
      <c r="E8" s="33">
        <v>15</v>
      </c>
      <c r="F8" s="33"/>
      <c r="G8" s="33"/>
      <c r="H8" s="33">
        <v>0.79</v>
      </c>
      <c r="I8" s="33">
        <v>6.32</v>
      </c>
      <c r="J8" s="34">
        <f t="shared" si="0"/>
        <v>14.29</v>
      </c>
      <c r="K8" s="34">
        <f t="shared" si="1"/>
        <v>21.32</v>
      </c>
    </row>
    <row r="9" spans="1:11" x14ac:dyDescent="0.2">
      <c r="A9" s="7" t="s">
        <v>17</v>
      </c>
      <c r="B9" s="33"/>
      <c r="C9" s="33"/>
      <c r="D9" s="33"/>
      <c r="E9" s="33"/>
      <c r="F9" s="33"/>
      <c r="G9" s="33"/>
      <c r="H9" s="33"/>
      <c r="I9" s="33"/>
      <c r="J9" s="34">
        <f t="shared" si="0"/>
        <v>0</v>
      </c>
      <c r="K9" s="34">
        <f t="shared" si="1"/>
        <v>0</v>
      </c>
    </row>
    <row r="10" spans="1:11" x14ac:dyDescent="0.2">
      <c r="A10" s="7" t="s">
        <v>18</v>
      </c>
      <c r="B10" s="33"/>
      <c r="C10" s="33"/>
      <c r="D10" s="33"/>
      <c r="E10" s="33"/>
      <c r="F10" s="33"/>
      <c r="G10" s="33"/>
      <c r="H10" s="33"/>
      <c r="I10" s="33"/>
      <c r="J10" s="34">
        <f t="shared" si="0"/>
        <v>0</v>
      </c>
      <c r="K10" s="34">
        <f t="shared" si="1"/>
        <v>0</v>
      </c>
    </row>
    <row r="11" spans="1:11" x14ac:dyDescent="0.2">
      <c r="A11" s="7" t="s">
        <v>19</v>
      </c>
      <c r="B11" s="33"/>
      <c r="C11" s="33"/>
      <c r="D11" s="33"/>
      <c r="E11" s="33"/>
      <c r="F11" s="33"/>
      <c r="G11" s="33"/>
      <c r="H11" s="33"/>
      <c r="I11" s="33"/>
      <c r="J11" s="34">
        <f t="shared" si="0"/>
        <v>0</v>
      </c>
      <c r="K11" s="34">
        <f t="shared" si="1"/>
        <v>0</v>
      </c>
    </row>
    <row r="12" spans="1:11" x14ac:dyDescent="0.2">
      <c r="A12" s="7" t="s">
        <v>20</v>
      </c>
      <c r="B12" s="33">
        <v>1.728</v>
      </c>
      <c r="C12" s="33">
        <v>2.867</v>
      </c>
      <c r="D12" s="33">
        <v>57.47</v>
      </c>
      <c r="E12" s="33">
        <v>28.8</v>
      </c>
      <c r="F12" s="33"/>
      <c r="G12" s="33"/>
      <c r="H12" s="33">
        <v>25.73</v>
      </c>
      <c r="I12" s="33">
        <v>88.95</v>
      </c>
      <c r="J12" s="34">
        <f t="shared" si="0"/>
        <v>84.927999999999997</v>
      </c>
      <c r="K12" s="34">
        <f t="shared" si="1"/>
        <v>120.617</v>
      </c>
    </row>
    <row r="13" spans="1:11" x14ac:dyDescent="0.2">
      <c r="A13" s="7" t="s">
        <v>21</v>
      </c>
      <c r="B13" s="33"/>
      <c r="C13" s="33"/>
      <c r="D13" s="33">
        <v>7.63</v>
      </c>
      <c r="E13" s="33">
        <v>22.86</v>
      </c>
      <c r="F13" s="33"/>
      <c r="G13" s="33"/>
      <c r="H13" s="33">
        <v>20.93</v>
      </c>
      <c r="I13" s="33">
        <v>217.89</v>
      </c>
      <c r="J13" s="34">
        <f t="shared" si="0"/>
        <v>28.56</v>
      </c>
      <c r="K13" s="34">
        <f t="shared" si="1"/>
        <v>240.75</v>
      </c>
    </row>
    <row r="14" spans="1:11" x14ac:dyDescent="0.2">
      <c r="A14" s="7" t="s">
        <v>22</v>
      </c>
      <c r="B14" s="33"/>
      <c r="C14" s="33"/>
      <c r="D14" s="33"/>
      <c r="E14" s="33"/>
      <c r="F14" s="33"/>
      <c r="G14" s="33"/>
      <c r="H14" s="33"/>
      <c r="I14" s="33"/>
      <c r="J14" s="34">
        <f t="shared" si="0"/>
        <v>0</v>
      </c>
      <c r="K14" s="34">
        <f t="shared" si="1"/>
        <v>0</v>
      </c>
    </row>
    <row r="15" spans="1:11" x14ac:dyDescent="0.2">
      <c r="A15" s="7" t="s">
        <v>23</v>
      </c>
      <c r="B15" s="33"/>
      <c r="C15" s="33"/>
      <c r="D15" s="33"/>
      <c r="E15" s="33"/>
      <c r="F15" s="33"/>
      <c r="G15" s="33"/>
      <c r="H15" s="33"/>
      <c r="I15" s="33"/>
      <c r="J15" s="34">
        <f t="shared" si="0"/>
        <v>0</v>
      </c>
      <c r="K15" s="34">
        <f t="shared" si="1"/>
        <v>0</v>
      </c>
    </row>
    <row r="16" spans="1:11" x14ac:dyDescent="0.2">
      <c r="A16" s="7" t="s">
        <v>24</v>
      </c>
      <c r="B16" s="33"/>
      <c r="C16" s="33"/>
      <c r="D16" s="33"/>
      <c r="E16" s="33"/>
      <c r="F16" s="33"/>
      <c r="G16" s="33"/>
      <c r="H16" s="33"/>
      <c r="I16" s="33"/>
      <c r="J16" s="34">
        <f t="shared" si="0"/>
        <v>0</v>
      </c>
      <c r="K16" s="34">
        <f t="shared" si="1"/>
        <v>0</v>
      </c>
    </row>
    <row r="17" spans="1:11" x14ac:dyDescent="0.2">
      <c r="A17" s="7" t="s">
        <v>25</v>
      </c>
      <c r="B17" s="33"/>
      <c r="C17" s="33"/>
      <c r="D17" s="33">
        <v>10.5</v>
      </c>
      <c r="E17" s="33">
        <v>4</v>
      </c>
      <c r="F17" s="33"/>
      <c r="G17" s="33"/>
      <c r="H17" s="33"/>
      <c r="I17" s="33"/>
      <c r="J17" s="34">
        <f t="shared" si="0"/>
        <v>10.5</v>
      </c>
      <c r="K17" s="34">
        <f t="shared" si="1"/>
        <v>4</v>
      </c>
    </row>
    <row r="18" spans="1:11" s="90" customFormat="1" x14ac:dyDescent="0.2">
      <c r="A18" s="7" t="s">
        <v>178</v>
      </c>
      <c r="B18" s="36">
        <v>236.8</v>
      </c>
      <c r="C18" s="36">
        <v>380.8</v>
      </c>
      <c r="D18" s="36">
        <v>121.28</v>
      </c>
      <c r="E18" s="36">
        <v>66</v>
      </c>
      <c r="F18" s="36">
        <v>10.6</v>
      </c>
      <c r="G18" s="36">
        <v>2</v>
      </c>
      <c r="H18" s="36">
        <v>511</v>
      </c>
      <c r="I18" s="36">
        <v>3784.6</v>
      </c>
      <c r="J18" s="34">
        <f t="shared" si="0"/>
        <v>879.68000000000006</v>
      </c>
      <c r="K18" s="34">
        <f t="shared" si="1"/>
        <v>4233.3999999999996</v>
      </c>
    </row>
    <row r="19" spans="1:11" x14ac:dyDescent="0.2">
      <c r="A19" s="7" t="s">
        <v>27</v>
      </c>
      <c r="B19" s="36">
        <v>97.122</v>
      </c>
      <c r="C19" s="36">
        <v>117.3</v>
      </c>
      <c r="D19" s="36">
        <v>82.88</v>
      </c>
      <c r="E19" s="36">
        <v>74</v>
      </c>
      <c r="F19" s="36">
        <v>12.282999999999999</v>
      </c>
      <c r="G19" s="36">
        <v>5.9</v>
      </c>
      <c r="H19" s="36">
        <v>766</v>
      </c>
      <c r="I19" s="36">
        <v>3973.87</v>
      </c>
      <c r="J19" s="34">
        <f t="shared" si="0"/>
        <v>958.28499999999997</v>
      </c>
      <c r="K19" s="34">
        <f t="shared" si="1"/>
        <v>4171.07</v>
      </c>
    </row>
    <row r="20" spans="1:11" x14ac:dyDescent="0.2">
      <c r="A20" s="7" t="s">
        <v>28</v>
      </c>
      <c r="B20" s="36"/>
      <c r="C20" s="36"/>
      <c r="D20" s="36"/>
      <c r="E20" s="36"/>
      <c r="F20" s="36"/>
      <c r="G20" s="36"/>
      <c r="H20" s="36">
        <v>2.5680000000000001</v>
      </c>
      <c r="I20" s="36">
        <v>48.74</v>
      </c>
      <c r="J20" s="34">
        <f t="shared" si="0"/>
        <v>2.5680000000000001</v>
      </c>
      <c r="K20" s="34">
        <f t="shared" si="1"/>
        <v>48.74</v>
      </c>
    </row>
    <row r="21" spans="1:11" x14ac:dyDescent="0.2">
      <c r="A21" s="7" t="s">
        <v>29</v>
      </c>
      <c r="B21" s="36"/>
      <c r="C21" s="36"/>
      <c r="D21" s="36"/>
      <c r="E21" s="36"/>
      <c r="F21" s="36"/>
      <c r="G21" s="36"/>
      <c r="H21" s="36"/>
      <c r="I21" s="36"/>
      <c r="J21" s="34">
        <f t="shared" si="0"/>
        <v>0</v>
      </c>
      <c r="K21" s="34">
        <f t="shared" si="1"/>
        <v>0</v>
      </c>
    </row>
    <row r="22" spans="1:11" x14ac:dyDescent="0.2">
      <c r="A22" s="7" t="s">
        <v>30</v>
      </c>
      <c r="B22" s="36">
        <v>2.2000000000000002</v>
      </c>
      <c r="C22" s="36">
        <v>3.58</v>
      </c>
      <c r="D22" s="36">
        <v>183</v>
      </c>
      <c r="E22" s="36">
        <v>216</v>
      </c>
      <c r="F22" s="36"/>
      <c r="G22" s="36"/>
      <c r="H22" s="36">
        <v>21</v>
      </c>
      <c r="I22" s="36">
        <v>120</v>
      </c>
      <c r="J22" s="34">
        <f t="shared" si="0"/>
        <v>206.2</v>
      </c>
      <c r="K22" s="34">
        <f t="shared" si="1"/>
        <v>339.58000000000004</v>
      </c>
    </row>
    <row r="23" spans="1:11" x14ac:dyDescent="0.2">
      <c r="A23" s="25" t="s">
        <v>31</v>
      </c>
      <c r="B23" s="36"/>
      <c r="C23" s="36"/>
      <c r="D23" s="36"/>
      <c r="E23" s="36"/>
      <c r="F23" s="36"/>
      <c r="G23" s="36"/>
      <c r="H23" s="36"/>
      <c r="I23" s="36"/>
      <c r="J23" s="34">
        <f t="shared" si="0"/>
        <v>0</v>
      </c>
      <c r="K23" s="34">
        <f t="shared" si="1"/>
        <v>0</v>
      </c>
    </row>
    <row r="24" spans="1:11" x14ac:dyDescent="0.2">
      <c r="A24" s="7" t="s">
        <v>32</v>
      </c>
      <c r="B24" s="33">
        <v>14.62</v>
      </c>
      <c r="C24" s="33">
        <v>19.829999999999998</v>
      </c>
      <c r="D24" s="33">
        <v>8</v>
      </c>
      <c r="E24" s="33">
        <v>9</v>
      </c>
      <c r="F24" s="33"/>
      <c r="G24" s="33"/>
      <c r="H24" s="33"/>
      <c r="I24" s="33"/>
      <c r="J24" s="34">
        <f t="shared" si="0"/>
        <v>22.619999999999997</v>
      </c>
      <c r="K24" s="34">
        <f t="shared" si="1"/>
        <v>28.83</v>
      </c>
    </row>
    <row r="25" spans="1:11" x14ac:dyDescent="0.2">
      <c r="A25" s="7" t="s">
        <v>33</v>
      </c>
      <c r="B25" s="33">
        <v>5.01</v>
      </c>
      <c r="C25" s="33">
        <v>12.39</v>
      </c>
      <c r="D25" s="33">
        <v>0</v>
      </c>
      <c r="E25" s="33">
        <v>2</v>
      </c>
      <c r="F25" s="33"/>
      <c r="G25" s="33"/>
      <c r="H25" s="33">
        <v>0.02</v>
      </c>
      <c r="I25" s="33">
        <v>0.06</v>
      </c>
      <c r="J25" s="34">
        <f t="shared" si="0"/>
        <v>5.0299999999999994</v>
      </c>
      <c r="K25" s="34">
        <f t="shared" si="1"/>
        <v>14.450000000000001</v>
      </c>
    </row>
    <row r="26" spans="1:11" x14ac:dyDescent="0.2">
      <c r="A26" s="8" t="s">
        <v>34</v>
      </c>
      <c r="B26" s="36">
        <v>0.2</v>
      </c>
      <c r="C26" s="36">
        <v>1.3</v>
      </c>
      <c r="D26" s="36"/>
      <c r="E26" s="36"/>
      <c r="F26" s="36"/>
      <c r="G26" s="36"/>
      <c r="H26" s="36">
        <v>0.9</v>
      </c>
      <c r="I26" s="36">
        <v>0.3</v>
      </c>
      <c r="J26" s="34">
        <f t="shared" si="0"/>
        <v>1.1000000000000001</v>
      </c>
      <c r="K26" s="34">
        <f t="shared" si="1"/>
        <v>1.6</v>
      </c>
    </row>
    <row r="27" spans="1:11" x14ac:dyDescent="0.2">
      <c r="A27" s="7" t="s">
        <v>214</v>
      </c>
      <c r="B27" s="36"/>
      <c r="C27" s="36"/>
      <c r="D27" s="36">
        <v>157.5</v>
      </c>
      <c r="E27" s="36">
        <v>96</v>
      </c>
      <c r="F27" s="36"/>
      <c r="G27" s="36"/>
      <c r="H27" s="36">
        <v>53.94</v>
      </c>
      <c r="I27" s="36">
        <v>258.04000000000002</v>
      </c>
      <c r="J27" s="34">
        <f t="shared" si="0"/>
        <v>211.44</v>
      </c>
      <c r="K27" s="34">
        <f t="shared" si="1"/>
        <v>354.04</v>
      </c>
    </row>
    <row r="28" spans="1:11" x14ac:dyDescent="0.2">
      <c r="A28" s="8" t="s">
        <v>186</v>
      </c>
      <c r="B28" s="36">
        <v>0.06</v>
      </c>
      <c r="C28" s="36">
        <v>0.08</v>
      </c>
      <c r="D28" s="36"/>
      <c r="E28" s="36"/>
      <c r="F28" s="36"/>
      <c r="G28" s="36"/>
      <c r="H28" s="36">
        <v>2.1</v>
      </c>
      <c r="I28" s="36">
        <v>20</v>
      </c>
      <c r="J28" s="34">
        <f t="shared" si="0"/>
        <v>2.16</v>
      </c>
      <c r="K28" s="34">
        <f t="shared" si="1"/>
        <v>20.079999999999998</v>
      </c>
    </row>
    <row r="29" spans="1:11" x14ac:dyDescent="0.2">
      <c r="A29" s="7" t="s">
        <v>35</v>
      </c>
      <c r="B29" s="36"/>
      <c r="C29" s="36"/>
      <c r="D29" s="36"/>
      <c r="E29" s="36"/>
      <c r="F29" s="36"/>
      <c r="G29" s="36"/>
      <c r="H29" s="36"/>
      <c r="I29" s="36"/>
      <c r="J29" s="34">
        <f t="shared" si="0"/>
        <v>0</v>
      </c>
      <c r="K29" s="34">
        <f t="shared" si="1"/>
        <v>0</v>
      </c>
    </row>
    <row r="30" spans="1:11" x14ac:dyDescent="0.2">
      <c r="A30" s="7" t="s">
        <v>36</v>
      </c>
      <c r="B30" s="36"/>
      <c r="C30" s="36"/>
      <c r="D30" s="36"/>
      <c r="E30" s="36"/>
      <c r="F30" s="36"/>
      <c r="G30" s="36"/>
      <c r="H30" s="36"/>
      <c r="I30" s="36"/>
      <c r="J30" s="34">
        <f t="shared" si="0"/>
        <v>0</v>
      </c>
      <c r="K30" s="34">
        <f t="shared" si="1"/>
        <v>0</v>
      </c>
    </row>
    <row r="31" spans="1:11" x14ac:dyDescent="0.2">
      <c r="A31" s="7" t="s">
        <v>37</v>
      </c>
      <c r="B31" s="36"/>
      <c r="C31" s="36"/>
      <c r="D31" s="36"/>
      <c r="E31" s="36"/>
      <c r="F31" s="36"/>
      <c r="G31" s="36"/>
      <c r="H31" s="36"/>
      <c r="I31" s="36"/>
      <c r="J31" s="34">
        <f t="shared" si="0"/>
        <v>0</v>
      </c>
      <c r="K31" s="34">
        <f t="shared" si="1"/>
        <v>0</v>
      </c>
    </row>
    <row r="32" spans="1:11" x14ac:dyDescent="0.2">
      <c r="A32" s="7" t="s">
        <v>38</v>
      </c>
      <c r="B32" s="33">
        <v>6.43</v>
      </c>
      <c r="C32" s="33">
        <v>15.72</v>
      </c>
      <c r="D32" s="33">
        <v>136.41999999999999</v>
      </c>
      <c r="E32" s="33">
        <v>60</v>
      </c>
      <c r="F32" s="33">
        <v>21.388999999999999</v>
      </c>
      <c r="G32" s="33">
        <v>1</v>
      </c>
      <c r="H32" s="33">
        <v>430.65600000000001</v>
      </c>
      <c r="I32" s="33">
        <v>4515.5600000000004</v>
      </c>
      <c r="J32" s="34">
        <f t="shared" si="0"/>
        <v>594.89499999999998</v>
      </c>
      <c r="K32" s="34">
        <f t="shared" si="1"/>
        <v>4592.2800000000007</v>
      </c>
    </row>
    <row r="33" spans="1:11" x14ac:dyDescent="0.2">
      <c r="A33" s="7" t="s">
        <v>39</v>
      </c>
      <c r="B33" s="36">
        <v>5.6</v>
      </c>
      <c r="C33" s="36">
        <v>17.73</v>
      </c>
      <c r="D33" s="36">
        <v>3.9</v>
      </c>
      <c r="E33" s="36">
        <v>5.5</v>
      </c>
      <c r="F33" s="36"/>
      <c r="G33" s="36"/>
      <c r="H33" s="36">
        <v>6.21</v>
      </c>
      <c r="I33" s="36">
        <v>18.059999999999999</v>
      </c>
      <c r="J33" s="34">
        <f t="shared" si="0"/>
        <v>15.71</v>
      </c>
      <c r="K33" s="34">
        <f t="shared" si="1"/>
        <v>41.29</v>
      </c>
    </row>
    <row r="34" spans="1:11" x14ac:dyDescent="0.2">
      <c r="A34" s="7" t="s">
        <v>40</v>
      </c>
      <c r="B34" s="36"/>
      <c r="C34" s="36"/>
      <c r="D34" s="36"/>
      <c r="E34" s="36"/>
      <c r="F34" s="36"/>
      <c r="G34" s="36"/>
      <c r="H34" s="36"/>
      <c r="I34" s="36"/>
      <c r="J34" s="34">
        <f t="shared" si="0"/>
        <v>0</v>
      </c>
      <c r="K34" s="34">
        <f t="shared" si="1"/>
        <v>0</v>
      </c>
    </row>
    <row r="35" spans="1:11" x14ac:dyDescent="0.2">
      <c r="A35" s="7" t="s">
        <v>100</v>
      </c>
      <c r="B35" s="36"/>
      <c r="C35" s="36"/>
      <c r="D35" s="36"/>
      <c r="E35" s="36"/>
      <c r="F35" s="36"/>
      <c r="G35" s="36"/>
      <c r="H35" s="36"/>
      <c r="I35" s="36"/>
      <c r="J35" s="33">
        <f t="shared" si="0"/>
        <v>0</v>
      </c>
      <c r="K35" s="33">
        <f t="shared" si="1"/>
        <v>0</v>
      </c>
    </row>
    <row r="36" spans="1:11" x14ac:dyDescent="0.2">
      <c r="A36" s="7" t="s">
        <v>42</v>
      </c>
      <c r="B36" s="33">
        <v>11.445</v>
      </c>
      <c r="C36" s="33">
        <v>21.8</v>
      </c>
      <c r="D36" s="33">
        <v>11</v>
      </c>
      <c r="E36" s="33">
        <v>11.6</v>
      </c>
      <c r="F36" s="33"/>
      <c r="G36" s="33"/>
      <c r="H36" s="33">
        <v>29.132999999999999</v>
      </c>
      <c r="I36" s="33">
        <v>252.88</v>
      </c>
      <c r="J36" s="33">
        <f t="shared" si="0"/>
        <v>51.578000000000003</v>
      </c>
      <c r="K36" s="33">
        <f t="shared" si="1"/>
        <v>286.27999999999997</v>
      </c>
    </row>
    <row r="37" spans="1:11" x14ac:dyDescent="0.2">
      <c r="A37" s="7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x14ac:dyDescent="0.2">
      <c r="A38" s="7" t="s">
        <v>9</v>
      </c>
      <c r="B38" s="34">
        <f>SUM(B3:B37)</f>
        <v>463.89400000000001</v>
      </c>
      <c r="C38" s="34">
        <f t="shared" ref="C38:K38" si="2">SUM(C3:C37)</f>
        <v>680.70700000000011</v>
      </c>
      <c r="D38" s="34">
        <f t="shared" si="2"/>
        <v>978.82999999999993</v>
      </c>
      <c r="E38" s="34">
        <f t="shared" si="2"/>
        <v>725.21</v>
      </c>
      <c r="F38" s="34">
        <f t="shared" si="2"/>
        <v>62.981999999999999</v>
      </c>
      <c r="G38" s="34">
        <f t="shared" si="2"/>
        <v>12.9</v>
      </c>
      <c r="H38" s="34">
        <f t="shared" si="2"/>
        <v>2070.8220000000001</v>
      </c>
      <c r="I38" s="34">
        <f t="shared" si="2"/>
        <v>14939.865999999998</v>
      </c>
      <c r="J38" s="34">
        <f t="shared" si="2"/>
        <v>3576.5279999999998</v>
      </c>
      <c r="K38" s="34">
        <f t="shared" si="2"/>
        <v>16358.683000000003</v>
      </c>
    </row>
    <row r="39" spans="1:11" ht="14.25" x14ac:dyDescent="0.2">
      <c r="A39" s="93" t="s">
        <v>226</v>
      </c>
    </row>
    <row r="40" spans="1:11" ht="14.25" x14ac:dyDescent="0.2">
      <c r="A40" s="93" t="s">
        <v>224</v>
      </c>
    </row>
  </sheetData>
  <mergeCells count="5">
    <mergeCell ref="J1:K1"/>
    <mergeCell ref="B1:C1"/>
    <mergeCell ref="D1:E1"/>
    <mergeCell ref="F1:G1"/>
    <mergeCell ref="H1:I1"/>
  </mergeCells>
  <phoneticPr fontId="24" type="noConversion"/>
  <printOptions horizontalCentered="1" verticalCentered="1"/>
  <pageMargins left="0.25" right="0.25" top="0.25" bottom="0.25" header="0.25" footer="0.25"/>
  <pageSetup orientation="landscape" r:id="rId1"/>
  <headerFooter alignWithMargins="0">
    <oddHeader xml:space="preserve">&amp;C&amp;"Arial,Bold"&amp;12&amp;UArea and Production of Plantation Crops 2011-12 (Final)&amp;R&amp;"Arial,Bold"&amp;8Area in '000 Ha 
Proudction in '000 MT 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pane xSplit="1" ySplit="2" topLeftCell="AA9" activePane="bottomRight" state="frozen"/>
      <selection pane="topRight" activeCell="B1" sqref="B1"/>
      <selection pane="bottomLeft" activeCell="A3" sqref="A3"/>
      <selection pane="bottomRight" activeCell="AC39" sqref="AC39"/>
    </sheetView>
  </sheetViews>
  <sheetFormatPr defaultRowHeight="12.75" x14ac:dyDescent="0.2"/>
  <cols>
    <col min="1" max="1" width="21.85546875" style="43" customWidth="1"/>
    <col min="2" max="6" width="9.28515625" style="43" bestFit="1" customWidth="1"/>
    <col min="7" max="7" width="9.5703125" style="43" bestFit="1" customWidth="1"/>
    <col min="8" max="8" width="9.28515625" style="43" bestFit="1" customWidth="1"/>
    <col min="9" max="9" width="9.5703125" style="43" bestFit="1" customWidth="1"/>
    <col min="10" max="10" width="9.28515625" style="43" bestFit="1" customWidth="1"/>
    <col min="11" max="11" width="9.5703125" style="43" bestFit="1" customWidth="1"/>
    <col min="12" max="23" width="9.28515625" style="43" bestFit="1" customWidth="1"/>
    <col min="24" max="24" width="12.28515625" style="43" customWidth="1"/>
    <col min="25" max="25" width="10.42578125" style="43" customWidth="1"/>
    <col min="26" max="26" width="10.85546875" style="43" customWidth="1"/>
    <col min="27" max="27" width="9.7109375" style="43" customWidth="1"/>
    <col min="28" max="35" width="9.28515625" style="43" bestFit="1" customWidth="1"/>
    <col min="36" max="36" width="9.140625" style="43"/>
    <col min="37" max="37" width="10.7109375" style="43" customWidth="1"/>
    <col min="38" max="16384" width="9.140625" style="43"/>
  </cols>
  <sheetData>
    <row r="1" spans="1:37" ht="14.25" x14ac:dyDescent="0.2">
      <c r="A1" s="29" t="s">
        <v>99</v>
      </c>
      <c r="B1" s="123" t="s">
        <v>136</v>
      </c>
      <c r="C1" s="123"/>
      <c r="D1" s="123" t="s">
        <v>137</v>
      </c>
      <c r="E1" s="123"/>
      <c r="F1" s="123" t="s">
        <v>206</v>
      </c>
      <c r="G1" s="123"/>
      <c r="H1" s="123" t="s">
        <v>138</v>
      </c>
      <c r="I1" s="123"/>
      <c r="J1" s="123" t="s">
        <v>139</v>
      </c>
      <c r="K1" s="123"/>
      <c r="L1" s="123" t="s">
        <v>140</v>
      </c>
      <c r="M1" s="123"/>
      <c r="N1" s="123" t="s">
        <v>141</v>
      </c>
      <c r="O1" s="123"/>
      <c r="P1" s="123" t="s">
        <v>142</v>
      </c>
      <c r="Q1" s="123"/>
      <c r="R1" s="123" t="s">
        <v>143</v>
      </c>
      <c r="S1" s="123"/>
      <c r="T1" s="123" t="s">
        <v>207</v>
      </c>
      <c r="U1" s="123"/>
      <c r="V1" s="123" t="s">
        <v>144</v>
      </c>
      <c r="W1" s="123"/>
      <c r="X1" s="123" t="s">
        <v>208</v>
      </c>
      <c r="Y1" s="123"/>
      <c r="Z1" s="124" t="s">
        <v>209</v>
      </c>
      <c r="AA1" s="124"/>
      <c r="AB1" s="123" t="s">
        <v>145</v>
      </c>
      <c r="AC1" s="123"/>
      <c r="AD1" s="123" t="s">
        <v>146</v>
      </c>
      <c r="AE1" s="123"/>
      <c r="AF1" s="123" t="s">
        <v>147</v>
      </c>
      <c r="AG1" s="123"/>
      <c r="AH1" s="123" t="s">
        <v>210</v>
      </c>
      <c r="AI1" s="123"/>
      <c r="AJ1" s="123" t="s">
        <v>57</v>
      </c>
      <c r="AK1" s="123"/>
    </row>
    <row r="2" spans="1:37" ht="14.25" x14ac:dyDescent="0.2">
      <c r="A2" s="30"/>
      <c r="B2" s="39" t="s">
        <v>51</v>
      </c>
      <c r="C2" s="39" t="s">
        <v>10</v>
      </c>
      <c r="D2" s="39" t="s">
        <v>51</v>
      </c>
      <c r="E2" s="39" t="s">
        <v>10</v>
      </c>
      <c r="F2" s="39" t="s">
        <v>51</v>
      </c>
      <c r="G2" s="39" t="s">
        <v>10</v>
      </c>
      <c r="H2" s="39" t="s">
        <v>51</v>
      </c>
      <c r="I2" s="39" t="s">
        <v>10</v>
      </c>
      <c r="J2" s="39" t="s">
        <v>51</v>
      </c>
      <c r="K2" s="39" t="s">
        <v>10</v>
      </c>
      <c r="L2" s="39" t="s">
        <v>51</v>
      </c>
      <c r="M2" s="39" t="s">
        <v>10</v>
      </c>
      <c r="N2" s="39" t="s">
        <v>51</v>
      </c>
      <c r="O2" s="39" t="s">
        <v>10</v>
      </c>
      <c r="P2" s="39" t="s">
        <v>51</v>
      </c>
      <c r="Q2" s="39" t="s">
        <v>10</v>
      </c>
      <c r="R2" s="39" t="s">
        <v>51</v>
      </c>
      <c r="S2" s="39" t="s">
        <v>10</v>
      </c>
      <c r="T2" s="39" t="s">
        <v>51</v>
      </c>
      <c r="U2" s="39" t="s">
        <v>10</v>
      </c>
      <c r="V2" s="39" t="s">
        <v>51</v>
      </c>
      <c r="W2" s="39" t="s">
        <v>10</v>
      </c>
      <c r="X2" s="39" t="s">
        <v>51</v>
      </c>
      <c r="Y2" s="39" t="s">
        <v>10</v>
      </c>
      <c r="Z2" s="39" t="s">
        <v>51</v>
      </c>
      <c r="AA2" s="39" t="s">
        <v>10</v>
      </c>
      <c r="AB2" s="39" t="s">
        <v>51</v>
      </c>
      <c r="AC2" s="39" t="s">
        <v>10</v>
      </c>
      <c r="AD2" s="39" t="s">
        <v>51</v>
      </c>
      <c r="AE2" s="39" t="s">
        <v>10</v>
      </c>
      <c r="AF2" s="39" t="s">
        <v>51</v>
      </c>
      <c r="AG2" s="39" t="s">
        <v>10</v>
      </c>
      <c r="AH2" s="39" t="s">
        <v>51</v>
      </c>
      <c r="AI2" s="39" t="s">
        <v>10</v>
      </c>
      <c r="AJ2" s="39" t="s">
        <v>51</v>
      </c>
      <c r="AK2" s="39" t="s">
        <v>10</v>
      </c>
    </row>
    <row r="3" spans="1:37" x14ac:dyDescent="0.2">
      <c r="A3" s="40" t="s">
        <v>11</v>
      </c>
      <c r="B3" s="45">
        <v>0.6</v>
      </c>
      <c r="C3" s="45">
        <v>3.1710000000000002E-2</v>
      </c>
      <c r="D3" s="45">
        <v>0.21</v>
      </c>
      <c r="E3" s="45">
        <v>1.855</v>
      </c>
      <c r="F3" s="45">
        <v>0.38500000000000001</v>
      </c>
      <c r="G3" s="45">
        <v>0.57999999999999996</v>
      </c>
      <c r="H3" s="45">
        <v>0.08</v>
      </c>
      <c r="I3" s="45">
        <v>0.48499999999999999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>
        <v>0.15</v>
      </c>
      <c r="AA3" s="45">
        <v>2.8000000000000001E-2</v>
      </c>
      <c r="AB3" s="45">
        <v>7.0000000000000007E-2</v>
      </c>
      <c r="AC3" s="45">
        <v>3.5100000000000001E-3</v>
      </c>
      <c r="AD3" s="45">
        <v>0.156</v>
      </c>
      <c r="AE3" s="45">
        <v>1.1000000000000001E-3</v>
      </c>
      <c r="AF3" s="45"/>
      <c r="AG3" s="45"/>
      <c r="AH3" s="45"/>
      <c r="AI3" s="45"/>
      <c r="AJ3" s="46">
        <f>B3+D3+F3+H3+J3+L3+N3+P3+R3+T3+V3+X3+Z3+AB3+AD3+AF3+AH3</f>
        <v>1.6509999999999998</v>
      </c>
      <c r="AK3" s="46">
        <f>C3+E3+G3+I3+K3+M3+O3+Q3+S3+U3+W3+Y3+AA3+AC3+AE3+AG3+AI3</f>
        <v>2.9843199999999999</v>
      </c>
    </row>
    <row r="4" spans="1:37" ht="13.5" customHeight="1" x14ac:dyDescent="0.2">
      <c r="A4" s="40" t="s">
        <v>12</v>
      </c>
      <c r="B4" s="45">
        <v>0.01</v>
      </c>
      <c r="C4" s="45">
        <v>2E-3</v>
      </c>
      <c r="D4" s="45">
        <v>2.3199999999999998</v>
      </c>
      <c r="E4" s="45">
        <v>20</v>
      </c>
      <c r="F4" s="45">
        <v>183</v>
      </c>
      <c r="G4" s="45">
        <v>565</v>
      </c>
      <c r="H4" s="47">
        <v>75</v>
      </c>
      <c r="I4" s="47">
        <v>485</v>
      </c>
      <c r="J4" s="45">
        <v>0.4</v>
      </c>
      <c r="K4" s="45">
        <v>0</v>
      </c>
      <c r="L4" s="45"/>
      <c r="M4" s="45"/>
      <c r="N4" s="45">
        <v>20.8</v>
      </c>
      <c r="O4" s="45">
        <v>26</v>
      </c>
      <c r="P4" s="45"/>
      <c r="Q4" s="45"/>
      <c r="R4" s="45"/>
      <c r="S4" s="45"/>
      <c r="T4" s="45"/>
      <c r="U4" s="45"/>
      <c r="V4" s="45">
        <v>5.08</v>
      </c>
      <c r="W4" s="45">
        <v>2.3980000000000001</v>
      </c>
      <c r="X4" s="45"/>
      <c r="Y4" s="45"/>
      <c r="Z4" s="45"/>
      <c r="AA4" s="45"/>
      <c r="AB4" s="45"/>
      <c r="AC4" s="45"/>
      <c r="AD4" s="45"/>
      <c r="AE4" s="45"/>
      <c r="AF4" s="45">
        <v>6.2</v>
      </c>
      <c r="AG4" s="45">
        <v>30.9</v>
      </c>
      <c r="AH4" s="45">
        <v>8.9999999999999993E-3</v>
      </c>
      <c r="AI4" s="45">
        <v>1.4E-2</v>
      </c>
      <c r="AJ4" s="46">
        <f t="shared" ref="AJ4:AJ32" si="0">B4+D4+F4+H4+J4+L4+N4+P4+R4+T4+V4+X4+Z4+AB4+AD4+AF4+AH4</f>
        <v>292.81900000000002</v>
      </c>
      <c r="AK4" s="46">
        <f t="shared" ref="AK4:AK32" si="1">C4+E4+G4+I4+K4+M4+O4+Q4+S4+U4+W4+Y4+AA4+AC4+AE4+AG4+AI4</f>
        <v>1129.3139999999999</v>
      </c>
    </row>
    <row r="5" spans="1:37" x14ac:dyDescent="0.2">
      <c r="A5" s="41" t="s">
        <v>13</v>
      </c>
      <c r="B5" s="45"/>
      <c r="C5" s="45"/>
      <c r="D5" s="45">
        <v>6.8</v>
      </c>
      <c r="E5" s="45">
        <v>53</v>
      </c>
      <c r="F5" s="45">
        <v>2.6</v>
      </c>
      <c r="G5" s="45">
        <v>5.5</v>
      </c>
      <c r="H5" s="45">
        <v>0.65</v>
      </c>
      <c r="I5" s="45">
        <v>3.1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6">
        <f t="shared" si="0"/>
        <v>10.050000000000001</v>
      </c>
      <c r="AK5" s="46">
        <f t="shared" si="1"/>
        <v>61.6</v>
      </c>
    </row>
    <row r="6" spans="1:37" x14ac:dyDescent="0.2">
      <c r="A6" s="40" t="s">
        <v>14</v>
      </c>
      <c r="B6" s="45">
        <v>3.4420000000000002</v>
      </c>
      <c r="C6" s="45">
        <v>1.7453700000000001</v>
      </c>
      <c r="D6" s="45">
        <v>16.989999999999998</v>
      </c>
      <c r="E6" s="45">
        <v>125.42100000000001</v>
      </c>
      <c r="F6" s="45">
        <v>19.995000000000001</v>
      </c>
      <c r="G6" s="45">
        <v>13.356</v>
      </c>
      <c r="H6" s="45">
        <v>15.468</v>
      </c>
      <c r="I6" s="45">
        <v>13.302</v>
      </c>
      <c r="J6" s="45">
        <v>9.6869999999999994</v>
      </c>
      <c r="K6" s="45">
        <v>62.529000000000003</v>
      </c>
      <c r="L6" s="45"/>
      <c r="M6" s="45"/>
      <c r="N6" s="45">
        <v>27.463000000000001</v>
      </c>
      <c r="O6" s="45">
        <v>45.204000000000001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6">
        <f t="shared" si="0"/>
        <v>93.044999999999987</v>
      </c>
      <c r="AK6" s="46">
        <f t="shared" si="1"/>
        <v>261.55736999999999</v>
      </c>
    </row>
    <row r="7" spans="1:37" x14ac:dyDescent="0.2">
      <c r="A7" s="40" t="s">
        <v>15</v>
      </c>
      <c r="B7" s="45"/>
      <c r="C7" s="45"/>
      <c r="D7" s="45">
        <v>0.56000000000000005</v>
      </c>
      <c r="E7" s="45">
        <v>0.84</v>
      </c>
      <c r="F7" s="45">
        <v>2.9</v>
      </c>
      <c r="G7" s="45">
        <v>3</v>
      </c>
      <c r="H7" s="45">
        <v>3</v>
      </c>
      <c r="I7" s="45">
        <v>3</v>
      </c>
      <c r="J7" s="45">
        <v>4.25</v>
      </c>
      <c r="K7" s="45">
        <v>4</v>
      </c>
      <c r="L7" s="45"/>
      <c r="M7" s="45"/>
      <c r="N7" s="45">
        <v>2.2999999999999998</v>
      </c>
      <c r="O7" s="45">
        <v>1.7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6">
        <f t="shared" si="0"/>
        <v>13.010000000000002</v>
      </c>
      <c r="AK7" s="46">
        <f t="shared" si="1"/>
        <v>12.54</v>
      </c>
    </row>
    <row r="8" spans="1:37" x14ac:dyDescent="0.2">
      <c r="A8" s="40" t="s">
        <v>16</v>
      </c>
      <c r="B8" s="45"/>
      <c r="C8" s="45"/>
      <c r="D8" s="45">
        <v>1.07</v>
      </c>
      <c r="E8" s="45">
        <v>1.415</v>
      </c>
      <c r="F8" s="45">
        <v>5.5549999999999997</v>
      </c>
      <c r="G8" s="45">
        <v>2.7549999999999999</v>
      </c>
      <c r="H8" s="45">
        <v>0.91</v>
      </c>
      <c r="I8" s="45">
        <v>0.77</v>
      </c>
      <c r="J8" s="45">
        <v>0.99</v>
      </c>
      <c r="K8" s="45">
        <v>2.5190000000000001</v>
      </c>
      <c r="L8" s="45"/>
      <c r="M8" s="45"/>
      <c r="N8" s="45">
        <v>3.1459999999999999</v>
      </c>
      <c r="O8" s="45">
        <v>0.85799999999999998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6">
        <f t="shared" si="0"/>
        <v>11.670999999999999</v>
      </c>
      <c r="AK8" s="46">
        <f t="shared" si="1"/>
        <v>8.3170000000000002</v>
      </c>
    </row>
    <row r="9" spans="1:37" x14ac:dyDescent="0.2">
      <c r="A9" s="40" t="s">
        <v>20</v>
      </c>
      <c r="B9" s="45">
        <v>0.73099999999999998</v>
      </c>
      <c r="C9" s="45">
        <v>0.23400000000000001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6">
        <f t="shared" si="0"/>
        <v>0.73099999999999998</v>
      </c>
      <c r="AK9" s="46">
        <f t="shared" si="1"/>
        <v>0.23400000000000001</v>
      </c>
    </row>
    <row r="10" spans="1:37" x14ac:dyDescent="0.2">
      <c r="A10" s="40" t="s">
        <v>21</v>
      </c>
      <c r="B10" s="45"/>
      <c r="C10" s="45"/>
      <c r="D10" s="45">
        <v>4.3949999999999996</v>
      </c>
      <c r="E10" s="45">
        <v>70.646000000000001</v>
      </c>
      <c r="F10" s="45">
        <v>43.395000000000003</v>
      </c>
      <c r="G10" s="45">
        <v>68.534000000000006</v>
      </c>
      <c r="H10" s="45">
        <v>2.9750000000000001</v>
      </c>
      <c r="I10" s="45">
        <v>50.493000000000002</v>
      </c>
      <c r="J10" s="45">
        <v>39.200000000000003</v>
      </c>
      <c r="K10" s="45">
        <v>277.45499999999998</v>
      </c>
      <c r="L10" s="45"/>
      <c r="M10" s="45"/>
      <c r="N10" s="45">
        <v>20.574000000000002</v>
      </c>
      <c r="O10" s="45">
        <v>32.31</v>
      </c>
      <c r="P10" s="45">
        <v>373.9</v>
      </c>
      <c r="Q10" s="45">
        <v>283.30200000000002</v>
      </c>
      <c r="R10" s="45">
        <v>39.5</v>
      </c>
      <c r="S10" s="45">
        <v>57.941000000000003</v>
      </c>
      <c r="T10" s="45">
        <v>5.26</v>
      </c>
      <c r="U10" s="45">
        <v>13.959</v>
      </c>
      <c r="V10" s="45">
        <v>5.8659999999999997</v>
      </c>
      <c r="W10" s="45">
        <v>6.3689999999999998</v>
      </c>
      <c r="X10" s="45">
        <v>16.600000000000001</v>
      </c>
      <c r="Y10" s="45">
        <v>21.132000000000001</v>
      </c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>
        <f t="shared" si="0"/>
        <v>551.66499999999996</v>
      </c>
      <c r="AK10" s="46">
        <f t="shared" si="1"/>
        <v>882.14099999999996</v>
      </c>
    </row>
    <row r="11" spans="1:37" x14ac:dyDescent="0.2">
      <c r="A11" s="40" t="s">
        <v>22</v>
      </c>
      <c r="B11" s="45"/>
      <c r="C11" s="45"/>
      <c r="D11" s="45">
        <v>0.56999999999999995</v>
      </c>
      <c r="E11" s="45">
        <v>7.7850000000000001</v>
      </c>
      <c r="F11" s="45">
        <v>1.0449999999999999</v>
      </c>
      <c r="G11" s="45">
        <v>8.9280000000000008</v>
      </c>
      <c r="H11" s="45">
        <v>1.996</v>
      </c>
      <c r="I11" s="45">
        <v>18.3</v>
      </c>
      <c r="J11" s="45">
        <v>1.3640000000000001</v>
      </c>
      <c r="K11" s="45">
        <v>11.611000000000001</v>
      </c>
      <c r="L11" s="45"/>
      <c r="M11" s="45"/>
      <c r="N11" s="45">
        <v>2.4329999999999998</v>
      </c>
      <c r="O11" s="45">
        <v>3.1560000000000001</v>
      </c>
      <c r="P11" s="45"/>
      <c r="Q11" s="45"/>
      <c r="R11" s="45">
        <v>0.1</v>
      </c>
      <c r="S11" s="45">
        <v>0.11899999999999999</v>
      </c>
      <c r="T11" s="45">
        <v>5.29</v>
      </c>
      <c r="U11" s="45">
        <v>11.786</v>
      </c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>
        <f t="shared" si="0"/>
        <v>12.797999999999998</v>
      </c>
      <c r="AK11" s="46">
        <f t="shared" si="1"/>
        <v>61.685000000000009</v>
      </c>
    </row>
    <row r="12" spans="1:37" x14ac:dyDescent="0.2">
      <c r="A12" s="40" t="s">
        <v>23</v>
      </c>
      <c r="B12" s="45"/>
      <c r="C12" s="45"/>
      <c r="D12" s="45">
        <v>2.1800000000000002</v>
      </c>
      <c r="E12" s="45">
        <v>16.760000000000002</v>
      </c>
      <c r="F12" s="45">
        <v>0.70899999999999996</v>
      </c>
      <c r="G12" s="45">
        <v>0.27700000000000002</v>
      </c>
      <c r="H12" s="45">
        <v>0.185</v>
      </c>
      <c r="I12" s="45">
        <v>0.10199999999999999</v>
      </c>
      <c r="J12" s="45">
        <v>1.4730000000000001</v>
      </c>
      <c r="K12" s="45">
        <v>2.0510000000000002</v>
      </c>
      <c r="L12" s="45"/>
      <c r="M12" s="45"/>
      <c r="N12" s="45">
        <v>0.14099999999999999</v>
      </c>
      <c r="O12" s="45">
        <v>4.8000000000000001E-2</v>
      </c>
      <c r="P12" s="45">
        <v>7.8E-2</v>
      </c>
      <c r="Q12" s="45">
        <v>2.1000000000000001E-2</v>
      </c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>
        <f t="shared" si="0"/>
        <v>4.7660000000000009</v>
      </c>
      <c r="AK12" s="46">
        <f t="shared" si="1"/>
        <v>19.259000000000004</v>
      </c>
    </row>
    <row r="13" spans="1:37" x14ac:dyDescent="0.2">
      <c r="A13" s="40" t="s">
        <v>24</v>
      </c>
      <c r="B13" s="45"/>
      <c r="C13" s="45"/>
      <c r="D13" s="45">
        <v>3.4000000000000002E-2</v>
      </c>
      <c r="E13" s="45">
        <v>4.48E-2</v>
      </c>
      <c r="F13" s="45">
        <v>0.56399999999999995</v>
      </c>
      <c r="G13" s="45">
        <v>0.54279999999999995</v>
      </c>
      <c r="H13" s="45">
        <v>1.7000000000000001E-2</v>
      </c>
      <c r="I13" s="45">
        <v>1.72E-2</v>
      </c>
      <c r="J13" s="45">
        <v>0.54300000000000004</v>
      </c>
      <c r="K13" s="45">
        <v>0.4637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>
        <v>2.9889999999999999</v>
      </c>
      <c r="AI13" s="45">
        <v>8.8500000000000002E-3</v>
      </c>
      <c r="AJ13" s="46">
        <f t="shared" si="0"/>
        <v>4.1470000000000002</v>
      </c>
      <c r="AK13" s="46">
        <f t="shared" si="1"/>
        <v>1.0773499999999998</v>
      </c>
    </row>
    <row r="14" spans="1:37" x14ac:dyDescent="0.2">
      <c r="A14" s="40" t="s">
        <v>25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>
        <f t="shared" si="0"/>
        <v>0</v>
      </c>
      <c r="AK14" s="46">
        <f t="shared" si="1"/>
        <v>0</v>
      </c>
    </row>
    <row r="15" spans="1:37" x14ac:dyDescent="0.2">
      <c r="A15" s="40" t="s">
        <v>178</v>
      </c>
      <c r="B15" s="45">
        <v>20</v>
      </c>
      <c r="C15" s="45">
        <v>5.5</v>
      </c>
      <c r="D15" s="45">
        <v>40</v>
      </c>
      <c r="E15" s="45">
        <v>139.6</v>
      </c>
      <c r="F15" s="45">
        <v>133.4</v>
      </c>
      <c r="G15" s="45">
        <v>153.13999999999999</v>
      </c>
      <c r="H15" s="45">
        <v>15.9</v>
      </c>
      <c r="I15" s="45">
        <v>100</v>
      </c>
      <c r="J15" s="45">
        <v>5.6929999999999996</v>
      </c>
      <c r="K15" s="45">
        <v>6</v>
      </c>
      <c r="L15" s="45">
        <v>21.9</v>
      </c>
      <c r="M15" s="45">
        <v>1.9</v>
      </c>
      <c r="N15" s="45">
        <v>8.6</v>
      </c>
      <c r="O15" s="45">
        <v>8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>
        <v>3.6999999999999998E-2</v>
      </c>
      <c r="AA15" s="45">
        <v>7.0000000000000001E-3</v>
      </c>
      <c r="AB15" s="45">
        <v>0.14699999999999999</v>
      </c>
      <c r="AC15" s="45">
        <v>0.15</v>
      </c>
      <c r="AD15" s="45">
        <v>0.122</v>
      </c>
      <c r="AE15" s="45">
        <v>0.17</v>
      </c>
      <c r="AF15" s="45">
        <v>16.8</v>
      </c>
      <c r="AG15" s="45">
        <v>87</v>
      </c>
      <c r="AH15" s="45">
        <v>2.5179999999999998</v>
      </c>
      <c r="AI15" s="45">
        <v>0.99399999999999999</v>
      </c>
      <c r="AJ15" s="46">
        <f t="shared" si="0"/>
        <v>265.11700000000002</v>
      </c>
      <c r="AK15" s="46">
        <f t="shared" si="1"/>
        <v>502.46100000000001</v>
      </c>
    </row>
    <row r="16" spans="1:37" x14ac:dyDescent="0.2">
      <c r="A16" s="40" t="s">
        <v>27</v>
      </c>
      <c r="B16" s="45">
        <v>170.25</v>
      </c>
      <c r="C16" s="45">
        <v>31.69</v>
      </c>
      <c r="D16" s="45">
        <v>5.8280000000000003</v>
      </c>
      <c r="E16" s="45">
        <v>31.596</v>
      </c>
      <c r="F16" s="45">
        <v>1.913</v>
      </c>
      <c r="G16" s="45">
        <v>3.101</v>
      </c>
      <c r="H16" s="45">
        <v>2.4039999999999999</v>
      </c>
      <c r="I16" s="45">
        <v>6.3049999999999997</v>
      </c>
      <c r="J16" s="45">
        <v>7.4999999999999997E-2</v>
      </c>
      <c r="K16" s="45">
        <v>0.65</v>
      </c>
      <c r="L16" s="45">
        <v>41.593000000000004</v>
      </c>
      <c r="M16" s="45">
        <v>7.8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>
        <v>0.32100000000000001</v>
      </c>
      <c r="AA16" s="45"/>
      <c r="AB16" s="45">
        <v>17.22</v>
      </c>
      <c r="AC16" s="45">
        <v>12.42</v>
      </c>
      <c r="AD16" s="45">
        <v>1.226</v>
      </c>
      <c r="AE16" s="45">
        <v>0.1</v>
      </c>
      <c r="AF16" s="45">
        <v>12.711</v>
      </c>
      <c r="AG16" s="45">
        <v>19.100000000000001</v>
      </c>
      <c r="AH16" s="45">
        <v>1.0089999999999999</v>
      </c>
      <c r="AI16" s="45">
        <v>4.036E-2</v>
      </c>
      <c r="AJ16" s="46">
        <f t="shared" si="0"/>
        <v>254.54999999999998</v>
      </c>
      <c r="AK16" s="46">
        <f t="shared" si="1"/>
        <v>112.80236000000001</v>
      </c>
    </row>
    <row r="17" spans="1:37" x14ac:dyDescent="0.2">
      <c r="A17" s="40" t="s">
        <v>29</v>
      </c>
      <c r="B17" s="45"/>
      <c r="C17" s="45"/>
      <c r="D17" s="45">
        <v>9</v>
      </c>
      <c r="E17" s="45">
        <v>15</v>
      </c>
      <c r="F17" s="45">
        <v>54.41</v>
      </c>
      <c r="G17" s="45">
        <v>93.57</v>
      </c>
      <c r="H17" s="45">
        <v>1.5</v>
      </c>
      <c r="I17" s="45">
        <v>0.6</v>
      </c>
      <c r="J17" s="45">
        <v>60</v>
      </c>
      <c r="K17" s="45">
        <v>270</v>
      </c>
      <c r="L17" s="45"/>
      <c r="M17" s="45"/>
      <c r="N17" s="45">
        <v>175</v>
      </c>
      <c r="O17" s="45">
        <v>82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6">
        <f t="shared" si="0"/>
        <v>299.90999999999997</v>
      </c>
      <c r="AK17" s="46">
        <f t="shared" si="1"/>
        <v>461.16999999999996</v>
      </c>
    </row>
    <row r="18" spans="1:37" x14ac:dyDescent="0.2">
      <c r="A18" s="40" t="s">
        <v>30</v>
      </c>
      <c r="B18" s="45"/>
      <c r="C18" s="45"/>
      <c r="D18" s="45">
        <v>1.06</v>
      </c>
      <c r="E18" s="45">
        <v>1.04</v>
      </c>
      <c r="F18" s="45">
        <v>99.5</v>
      </c>
      <c r="G18" s="45">
        <v>45.6</v>
      </c>
      <c r="H18" s="45">
        <v>6.76</v>
      </c>
      <c r="I18" s="45">
        <v>8.43</v>
      </c>
      <c r="J18" s="45">
        <v>3.5</v>
      </c>
      <c r="K18" s="45">
        <v>40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>
        <v>5.7</v>
      </c>
      <c r="AG18" s="45">
        <v>11.4</v>
      </c>
      <c r="AH18" s="45"/>
      <c r="AI18" s="45"/>
      <c r="AJ18" s="46">
        <f t="shared" si="0"/>
        <v>116.52000000000001</v>
      </c>
      <c r="AK18" s="46">
        <f t="shared" si="1"/>
        <v>106.47</v>
      </c>
    </row>
    <row r="19" spans="1:37" x14ac:dyDescent="0.2">
      <c r="A19" s="44" t="s">
        <v>31</v>
      </c>
      <c r="B19" s="45"/>
      <c r="C19" s="45"/>
      <c r="D19" s="45">
        <v>2.4</v>
      </c>
      <c r="E19" s="45">
        <v>3.84</v>
      </c>
      <c r="F19" s="45">
        <v>6.5</v>
      </c>
      <c r="G19" s="45">
        <v>3.9</v>
      </c>
      <c r="H19" s="45">
        <v>1.4</v>
      </c>
      <c r="I19" s="45">
        <v>16.399999999999999</v>
      </c>
      <c r="J19" s="45">
        <v>0.17</v>
      </c>
      <c r="K19" s="45">
        <v>0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6">
        <f t="shared" si="0"/>
        <v>10.47</v>
      </c>
      <c r="AK19" s="46">
        <f t="shared" si="1"/>
        <v>24.14</v>
      </c>
    </row>
    <row r="20" spans="1:37" x14ac:dyDescent="0.2">
      <c r="A20" s="40" t="s">
        <v>32</v>
      </c>
      <c r="B20" s="45">
        <v>0.88500000000000001</v>
      </c>
      <c r="C20" s="45">
        <v>0.46400000000000002</v>
      </c>
      <c r="D20" s="45">
        <v>9.4420000000000002</v>
      </c>
      <c r="E20" s="45">
        <v>56.801000000000002</v>
      </c>
      <c r="F20" s="45">
        <v>1.8460000000000001</v>
      </c>
      <c r="G20" s="45">
        <v>1.41</v>
      </c>
      <c r="H20" s="45">
        <v>1.9410000000000001</v>
      </c>
      <c r="I20" s="45">
        <v>9.9760000000000009</v>
      </c>
      <c r="J20" s="45">
        <v>0.28000000000000003</v>
      </c>
      <c r="K20" s="45">
        <v>1.1140000000000001</v>
      </c>
      <c r="L20" s="45"/>
      <c r="M20" s="45"/>
      <c r="N20" s="45">
        <v>1.2E-2</v>
      </c>
      <c r="O20" s="45">
        <v>5.0999999999999997E-2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>
        <v>2.4359999999999999</v>
      </c>
      <c r="AA20" s="45">
        <v>5</v>
      </c>
      <c r="AB20" s="45"/>
      <c r="AC20" s="45"/>
      <c r="AD20" s="45"/>
      <c r="AE20" s="45"/>
      <c r="AF20" s="45"/>
      <c r="AG20" s="45"/>
      <c r="AH20" s="45"/>
      <c r="AI20" s="45"/>
      <c r="AJ20" s="46">
        <f t="shared" si="0"/>
        <v>16.841999999999999</v>
      </c>
      <c r="AK20" s="46">
        <f t="shared" si="1"/>
        <v>74.816000000000003</v>
      </c>
    </row>
    <row r="21" spans="1:37" x14ac:dyDescent="0.2">
      <c r="A21" s="40" t="s">
        <v>33</v>
      </c>
      <c r="B21" s="45">
        <v>0.05</v>
      </c>
      <c r="C21" s="45">
        <v>8.6E-3</v>
      </c>
      <c r="D21" s="45">
        <v>6.5</v>
      </c>
      <c r="E21" s="45">
        <v>37</v>
      </c>
      <c r="F21" s="45">
        <v>8.0190000000000001</v>
      </c>
      <c r="G21" s="45">
        <v>48.472999999999999</v>
      </c>
      <c r="H21" s="45">
        <v>4.78</v>
      </c>
      <c r="I21" s="45">
        <v>23.9</v>
      </c>
      <c r="J21" s="45">
        <v>1.3</v>
      </c>
      <c r="K21" s="45">
        <v>5.6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6">
        <f t="shared" si="0"/>
        <v>20.649000000000001</v>
      </c>
      <c r="AK21" s="46">
        <f t="shared" si="1"/>
        <v>114.98159999999999</v>
      </c>
    </row>
    <row r="22" spans="1:37" x14ac:dyDescent="0.2">
      <c r="A22" s="41" t="s">
        <v>34</v>
      </c>
      <c r="B22" s="45">
        <v>0.22500000000000001</v>
      </c>
      <c r="C22" s="45">
        <v>1.2E-2</v>
      </c>
      <c r="D22" s="45">
        <v>5.32</v>
      </c>
      <c r="E22" s="45">
        <v>36</v>
      </c>
      <c r="F22" s="45">
        <v>0.8</v>
      </c>
      <c r="G22" s="45">
        <v>1</v>
      </c>
      <c r="H22" s="45">
        <v>0.12</v>
      </c>
      <c r="I22" s="45">
        <v>0.5</v>
      </c>
      <c r="J22" s="45">
        <v>0.1</v>
      </c>
      <c r="K22" s="45">
        <v>0.154</v>
      </c>
      <c r="L22" s="45">
        <v>3.2</v>
      </c>
      <c r="M22" s="45">
        <v>1.5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>
        <f t="shared" si="0"/>
        <v>9.7650000000000006</v>
      </c>
      <c r="AK22" s="46">
        <f t="shared" si="1"/>
        <v>39.166000000000004</v>
      </c>
    </row>
    <row r="23" spans="1:37" x14ac:dyDescent="0.2">
      <c r="A23" s="40" t="s">
        <v>214</v>
      </c>
      <c r="B23" s="45"/>
      <c r="C23" s="45"/>
      <c r="D23" s="45">
        <v>15.843999999999999</v>
      </c>
      <c r="E23" s="45">
        <v>35</v>
      </c>
      <c r="F23" s="45">
        <v>75.599999999999994</v>
      </c>
      <c r="G23" s="45">
        <v>70</v>
      </c>
      <c r="H23" s="45">
        <v>2.48</v>
      </c>
      <c r="I23" s="45">
        <v>36</v>
      </c>
      <c r="J23" s="45">
        <v>10.9</v>
      </c>
      <c r="K23" s="45">
        <v>35.5</v>
      </c>
      <c r="L23" s="45"/>
      <c r="M23" s="45"/>
      <c r="N23" s="45">
        <v>19.100000000000001</v>
      </c>
      <c r="O23" s="45">
        <v>11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6">
        <f t="shared" si="0"/>
        <v>123.92400000000001</v>
      </c>
      <c r="AK23" s="46">
        <f t="shared" si="1"/>
        <v>187.5</v>
      </c>
    </row>
    <row r="24" spans="1:37" x14ac:dyDescent="0.2">
      <c r="A24" s="41" t="s">
        <v>186</v>
      </c>
      <c r="B24" s="45">
        <v>1.0999999999999999E-2</v>
      </c>
      <c r="C24" s="45">
        <v>8.0000000000000002E-3</v>
      </c>
      <c r="D24" s="45"/>
      <c r="E24" s="45"/>
      <c r="F24" s="45">
        <v>5.0000000000000001E-3</v>
      </c>
      <c r="G24" s="45">
        <v>5.0000000000000001E-3</v>
      </c>
      <c r="H24" s="45">
        <v>6.0000000000000001E-3</v>
      </c>
      <c r="I24" s="45">
        <v>8.0000000000000002E-3</v>
      </c>
      <c r="J24" s="47"/>
      <c r="K24" s="47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>
        <v>6.4000000000000001E-2</v>
      </c>
      <c r="AG24" s="45">
        <v>9.4E-2</v>
      </c>
      <c r="AH24" s="45"/>
      <c r="AI24" s="45"/>
      <c r="AJ24" s="46">
        <f t="shared" si="0"/>
        <v>8.5999999999999993E-2</v>
      </c>
      <c r="AK24" s="46">
        <f t="shared" si="1"/>
        <v>0.115</v>
      </c>
    </row>
    <row r="25" spans="1:37" x14ac:dyDescent="0.2">
      <c r="A25" s="40" t="s">
        <v>35</v>
      </c>
      <c r="B25" s="45"/>
      <c r="C25" s="45"/>
      <c r="D25" s="45"/>
      <c r="E25" s="45"/>
      <c r="F25" s="45">
        <v>10.6</v>
      </c>
      <c r="G25" s="45">
        <v>17.7</v>
      </c>
      <c r="H25" s="45"/>
      <c r="I25" s="45"/>
      <c r="J25" s="45">
        <v>3.7</v>
      </c>
      <c r="K25" s="45">
        <v>45</v>
      </c>
      <c r="L25" s="45"/>
      <c r="M25" s="45"/>
      <c r="N25" s="45"/>
      <c r="O25" s="45"/>
      <c r="P25" s="45"/>
      <c r="Q25" s="45"/>
      <c r="R25" s="47"/>
      <c r="S25" s="47"/>
      <c r="T25" s="45"/>
      <c r="U25" s="45"/>
      <c r="V25" s="45"/>
      <c r="W25" s="45"/>
      <c r="X25" s="45">
        <v>4.07</v>
      </c>
      <c r="Y25" s="45">
        <v>5.51</v>
      </c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6">
        <f t="shared" si="0"/>
        <v>18.37</v>
      </c>
      <c r="AK25" s="46">
        <f t="shared" si="1"/>
        <v>68.210000000000008</v>
      </c>
    </row>
    <row r="26" spans="1:37" x14ac:dyDescent="0.2">
      <c r="A26" s="40" t="s">
        <v>36</v>
      </c>
      <c r="B26" s="45"/>
      <c r="C26" s="45"/>
      <c r="D26" s="45">
        <v>2.1000000000000001E-2</v>
      </c>
      <c r="E26" s="45">
        <v>6.2E-2</v>
      </c>
      <c r="F26" s="45">
        <v>12.214</v>
      </c>
      <c r="G26" s="45">
        <v>17.704999999999998</v>
      </c>
      <c r="H26" s="45">
        <v>0.20100000000000001</v>
      </c>
      <c r="I26" s="45">
        <v>0.43</v>
      </c>
      <c r="J26" s="45">
        <v>59.445999999999998</v>
      </c>
      <c r="K26" s="45">
        <v>235.97900000000001</v>
      </c>
      <c r="L26" s="45"/>
      <c r="M26" s="45"/>
      <c r="N26" s="45">
        <v>260</v>
      </c>
      <c r="O26" s="45">
        <v>311</v>
      </c>
      <c r="P26" s="45">
        <v>220</v>
      </c>
      <c r="Q26" s="45">
        <v>111</v>
      </c>
      <c r="R26" s="45">
        <v>59.043999999999997</v>
      </c>
      <c r="S26" s="45">
        <v>84.07</v>
      </c>
      <c r="T26" s="45">
        <v>82.35</v>
      </c>
      <c r="U26" s="45">
        <v>87.382000000000005</v>
      </c>
      <c r="V26" s="45">
        <v>24.43</v>
      </c>
      <c r="W26" s="45">
        <v>18.010999999999999</v>
      </c>
      <c r="X26" s="45">
        <v>12.8</v>
      </c>
      <c r="Y26" s="45">
        <v>6</v>
      </c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6">
        <f t="shared" si="0"/>
        <v>730.50599999999997</v>
      </c>
      <c r="AK26" s="46">
        <f t="shared" si="1"/>
        <v>871.63900000000012</v>
      </c>
    </row>
    <row r="27" spans="1:37" x14ac:dyDescent="0.2">
      <c r="A27" s="40" t="s">
        <v>37</v>
      </c>
      <c r="B27" s="45"/>
      <c r="C27" s="45"/>
      <c r="D27" s="45">
        <v>8.51</v>
      </c>
      <c r="E27" s="45">
        <v>48</v>
      </c>
      <c r="F27" s="45"/>
      <c r="G27" s="45"/>
      <c r="H27" s="45">
        <v>0.85</v>
      </c>
      <c r="I27" s="45">
        <v>2.9</v>
      </c>
      <c r="J27" s="45"/>
      <c r="K27" s="45"/>
      <c r="L27" s="45">
        <v>15.02</v>
      </c>
      <c r="M27" s="45">
        <v>3.51</v>
      </c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6">
        <f t="shared" si="0"/>
        <v>24.38</v>
      </c>
      <c r="AK27" s="46">
        <f t="shared" si="1"/>
        <v>54.41</v>
      </c>
    </row>
    <row r="28" spans="1:37" x14ac:dyDescent="0.2">
      <c r="A28" s="40" t="s">
        <v>38</v>
      </c>
      <c r="B28" s="45">
        <v>3.8359999999999999</v>
      </c>
      <c r="C28" s="45">
        <v>0.77500000000000002</v>
      </c>
      <c r="D28" s="45">
        <v>0.46200000000000002</v>
      </c>
      <c r="E28" s="45">
        <v>7.0679999999999996</v>
      </c>
      <c r="F28" s="45">
        <v>58.603000000000002</v>
      </c>
      <c r="G28" s="45">
        <v>30.297999999999998</v>
      </c>
      <c r="H28" s="45">
        <v>60.228000000000002</v>
      </c>
      <c r="I28" s="45">
        <v>326.13499999999999</v>
      </c>
      <c r="J28" s="45">
        <v>0.443</v>
      </c>
      <c r="K28" s="45">
        <v>2.5590000000000002</v>
      </c>
      <c r="L28" s="45">
        <v>4.4189999999999996</v>
      </c>
      <c r="M28" s="45">
        <v>0.40200000000000002</v>
      </c>
      <c r="N28" s="45">
        <v>10.885999999999999</v>
      </c>
      <c r="O28" s="45">
        <v>4.2130000000000001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>
        <v>4.8000000000000001E-2</v>
      </c>
      <c r="AC28" s="45"/>
      <c r="AD28" s="45">
        <v>0.88300000000000001</v>
      </c>
      <c r="AE28" s="45">
        <v>0.83399999999999996</v>
      </c>
      <c r="AF28" s="45">
        <v>16.952999999999999</v>
      </c>
      <c r="AG28" s="45">
        <v>54.08</v>
      </c>
      <c r="AH28" s="45">
        <v>0.56999999999999995</v>
      </c>
      <c r="AI28" s="45">
        <v>1.7000000000000001E-2</v>
      </c>
      <c r="AJ28" s="46">
        <f t="shared" si="0"/>
        <v>157.33100000000002</v>
      </c>
      <c r="AK28" s="46">
        <f t="shared" si="1"/>
        <v>426.38100000000003</v>
      </c>
    </row>
    <row r="29" spans="1:37" x14ac:dyDescent="0.2">
      <c r="A29" s="40" t="s">
        <v>39</v>
      </c>
      <c r="B29" s="45">
        <v>0.23899999999999999</v>
      </c>
      <c r="C29" s="45">
        <v>0.151</v>
      </c>
      <c r="D29" s="45">
        <v>1.8</v>
      </c>
      <c r="E29" s="45">
        <v>7.5990000000000002</v>
      </c>
      <c r="F29" s="45">
        <v>2.35</v>
      </c>
      <c r="G29" s="45">
        <v>3.7</v>
      </c>
      <c r="H29" s="45">
        <v>1.2949999999999999</v>
      </c>
      <c r="I29" s="45">
        <v>6.59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6">
        <f t="shared" si="0"/>
        <v>5.6840000000000002</v>
      </c>
      <c r="AK29" s="46">
        <f t="shared" si="1"/>
        <v>18.04</v>
      </c>
    </row>
    <row r="30" spans="1:37" x14ac:dyDescent="0.2">
      <c r="A30" s="40" t="s">
        <v>40</v>
      </c>
      <c r="B30" s="45"/>
      <c r="C30" s="45"/>
      <c r="D30" s="45">
        <v>0.84699999999999998</v>
      </c>
      <c r="E30" s="45">
        <v>2.4049999999999998</v>
      </c>
      <c r="F30" s="45">
        <v>13.284000000000001</v>
      </c>
      <c r="G30" s="45">
        <v>11.026</v>
      </c>
      <c r="H30" s="45">
        <v>2</v>
      </c>
      <c r="I30" s="45">
        <v>6</v>
      </c>
      <c r="J30" s="45">
        <v>34.427</v>
      </c>
      <c r="K30" s="45">
        <v>177.91900000000001</v>
      </c>
      <c r="L30" s="45"/>
      <c r="M30" s="45"/>
      <c r="N30" s="45">
        <v>6.5110000000000001</v>
      </c>
      <c r="O30" s="45">
        <v>3.6070000000000002</v>
      </c>
      <c r="P30" s="45">
        <v>2E-3</v>
      </c>
      <c r="Q30" s="45">
        <v>5.0000000000000001E-3</v>
      </c>
      <c r="R30" s="45">
        <v>0.91</v>
      </c>
      <c r="S30" s="45">
        <v>0.81899999999999995</v>
      </c>
      <c r="T30" s="45">
        <v>0.30499999999999999</v>
      </c>
      <c r="U30" s="45">
        <v>0.192</v>
      </c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6">
        <f t="shared" si="0"/>
        <v>58.286000000000001</v>
      </c>
      <c r="AK30" s="46">
        <f t="shared" si="1"/>
        <v>201.97300000000001</v>
      </c>
    </row>
    <row r="31" spans="1:37" x14ac:dyDescent="0.2">
      <c r="A31" s="40" t="s">
        <v>100</v>
      </c>
      <c r="B31" s="45"/>
      <c r="C31" s="45"/>
      <c r="D31" s="45">
        <v>1.4</v>
      </c>
      <c r="E31" s="45">
        <v>11.84</v>
      </c>
      <c r="F31" s="45">
        <v>2</v>
      </c>
      <c r="G31" s="45">
        <v>7.2</v>
      </c>
      <c r="H31" s="45">
        <v>0.7</v>
      </c>
      <c r="I31" s="45">
        <v>6.1</v>
      </c>
      <c r="J31" s="45">
        <v>1.2</v>
      </c>
      <c r="K31" s="45">
        <v>7.22</v>
      </c>
      <c r="L31" s="45"/>
      <c r="M31" s="45"/>
      <c r="N31" s="45">
        <v>0.90400000000000003</v>
      </c>
      <c r="O31" s="45">
        <v>3.8</v>
      </c>
      <c r="P31" s="45"/>
      <c r="Q31" s="45"/>
      <c r="R31" s="45"/>
      <c r="S31" s="45"/>
      <c r="T31" s="45">
        <v>0.4</v>
      </c>
      <c r="U31" s="45">
        <v>2.61</v>
      </c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6">
        <f t="shared" si="0"/>
        <v>6.6040000000000001</v>
      </c>
      <c r="AK31" s="46">
        <f t="shared" si="1"/>
        <v>38.769999999999996</v>
      </c>
    </row>
    <row r="32" spans="1:37" x14ac:dyDescent="0.2">
      <c r="A32" s="40" t="s">
        <v>42</v>
      </c>
      <c r="B32" s="45"/>
      <c r="C32" s="45"/>
      <c r="D32" s="45">
        <v>11.5</v>
      </c>
      <c r="E32" s="45">
        <v>25</v>
      </c>
      <c r="F32" s="45">
        <v>63.6</v>
      </c>
      <c r="G32" s="45">
        <v>100</v>
      </c>
      <c r="H32" s="45">
        <v>15.8</v>
      </c>
      <c r="I32" s="45">
        <v>42</v>
      </c>
      <c r="J32" s="45">
        <v>3.35</v>
      </c>
      <c r="K32" s="45">
        <v>40</v>
      </c>
      <c r="L32" s="45">
        <v>2.8740000000000001</v>
      </c>
      <c r="M32" s="45">
        <v>0.70399999999999996</v>
      </c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6">
        <f t="shared" si="0"/>
        <v>97.123999999999981</v>
      </c>
      <c r="AK32" s="46">
        <f t="shared" si="1"/>
        <v>207.70400000000001</v>
      </c>
    </row>
    <row r="33" spans="1:37" x14ac:dyDescent="0.2">
      <c r="A33" s="40"/>
      <c r="B33" s="45"/>
      <c r="C33" s="45"/>
      <c r="D33" s="45"/>
      <c r="E33" s="45"/>
      <c r="F33" s="47"/>
      <c r="G33" s="47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x14ac:dyDescent="0.2">
      <c r="A34" s="40" t="s">
        <v>9</v>
      </c>
      <c r="B34" s="48">
        <f>SUM(B3:B33)</f>
        <v>200.27900000000002</v>
      </c>
      <c r="C34" s="48">
        <f t="shared" ref="C34:AK34" si="2">SUM(C3:C33)</f>
        <v>40.621680000000005</v>
      </c>
      <c r="D34" s="48">
        <f t="shared" si="2"/>
        <v>155.06299999999999</v>
      </c>
      <c r="E34" s="48">
        <f t="shared" si="2"/>
        <v>755.6178000000001</v>
      </c>
      <c r="F34" s="48">
        <f t="shared" si="2"/>
        <v>804.79200000000003</v>
      </c>
      <c r="G34" s="48">
        <f t="shared" si="2"/>
        <v>1276.3008000000002</v>
      </c>
      <c r="H34" s="48">
        <f t="shared" si="2"/>
        <v>218.64599999999999</v>
      </c>
      <c r="I34" s="48">
        <f t="shared" si="2"/>
        <v>1166.8431999999996</v>
      </c>
      <c r="J34" s="48">
        <f t="shared" si="2"/>
        <v>242.49099999999999</v>
      </c>
      <c r="K34" s="48">
        <f t="shared" si="2"/>
        <v>1228.3237000000001</v>
      </c>
      <c r="L34" s="48">
        <f t="shared" si="2"/>
        <v>89.005999999999986</v>
      </c>
      <c r="M34" s="48">
        <f t="shared" si="2"/>
        <v>15.815999999999999</v>
      </c>
      <c r="N34" s="48">
        <f t="shared" si="2"/>
        <v>557.86999999999989</v>
      </c>
      <c r="O34" s="48">
        <f t="shared" si="2"/>
        <v>532.94699999999989</v>
      </c>
      <c r="P34" s="48">
        <f t="shared" si="2"/>
        <v>593.9799999999999</v>
      </c>
      <c r="Q34" s="48">
        <f t="shared" si="2"/>
        <v>394.32800000000003</v>
      </c>
      <c r="R34" s="48">
        <f t="shared" si="2"/>
        <v>99.554000000000002</v>
      </c>
      <c r="S34" s="48">
        <f t="shared" si="2"/>
        <v>142.94899999999998</v>
      </c>
      <c r="T34" s="48">
        <f t="shared" si="2"/>
        <v>93.605000000000004</v>
      </c>
      <c r="U34" s="48">
        <f t="shared" si="2"/>
        <v>115.929</v>
      </c>
      <c r="V34" s="48">
        <f t="shared" si="2"/>
        <v>35.375999999999998</v>
      </c>
      <c r="W34" s="48">
        <f t="shared" si="2"/>
        <v>26.777999999999999</v>
      </c>
      <c r="X34" s="48">
        <f t="shared" si="2"/>
        <v>33.47</v>
      </c>
      <c r="Y34" s="48">
        <f t="shared" si="2"/>
        <v>32.642000000000003</v>
      </c>
      <c r="Z34" s="48">
        <f t="shared" si="2"/>
        <v>2.944</v>
      </c>
      <c r="AA34" s="48">
        <f t="shared" si="2"/>
        <v>5.0350000000000001</v>
      </c>
      <c r="AB34" s="48">
        <f t="shared" si="2"/>
        <v>17.484999999999996</v>
      </c>
      <c r="AC34" s="48">
        <f t="shared" si="2"/>
        <v>12.573510000000001</v>
      </c>
      <c r="AD34" s="48">
        <f t="shared" si="2"/>
        <v>2.387</v>
      </c>
      <c r="AE34" s="48">
        <f t="shared" si="2"/>
        <v>1.1051</v>
      </c>
      <c r="AF34" s="48">
        <f t="shared" si="2"/>
        <v>58.427999999999997</v>
      </c>
      <c r="AG34" s="48">
        <f t="shared" si="2"/>
        <v>202.57400000000001</v>
      </c>
      <c r="AH34" s="48">
        <f t="shared" si="2"/>
        <v>7.0950000000000006</v>
      </c>
      <c r="AI34" s="48">
        <f t="shared" si="2"/>
        <v>1.0742099999999999</v>
      </c>
      <c r="AJ34" s="48">
        <f t="shared" si="2"/>
        <v>3212.471</v>
      </c>
      <c r="AK34" s="48">
        <f t="shared" si="2"/>
        <v>5951.4579999999996</v>
      </c>
    </row>
    <row r="35" spans="1:37" ht="14.25" x14ac:dyDescent="0.2">
      <c r="A35" s="93" t="s">
        <v>226</v>
      </c>
    </row>
    <row r="36" spans="1:37" ht="14.25" x14ac:dyDescent="0.2">
      <c r="A36" s="93" t="s">
        <v>224</v>
      </c>
    </row>
  </sheetData>
  <mergeCells count="18"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V1:W1"/>
    <mergeCell ref="X1:Y1"/>
    <mergeCell ref="AH1:AI1"/>
    <mergeCell ref="AJ1:AK1"/>
    <mergeCell ref="Z1:AA1"/>
    <mergeCell ref="AB1:AC1"/>
    <mergeCell ref="AD1:AE1"/>
    <mergeCell ref="AF1:AG1"/>
  </mergeCells>
  <phoneticPr fontId="24" type="noConversion"/>
  <pageMargins left="0.75" right="0.75" top="1" bottom="1" header="0.5" footer="0.5"/>
  <pageSetup scale="90" orientation="landscape" verticalDpi="0" r:id="rId1"/>
  <headerFooter alignWithMargins="0">
    <oddHeader>&amp;C&amp;"Arial,Bold"&amp;12Area and Production of Spices 2011-12 (Final)&amp;R&amp;"Arial,Bold"&amp;9Area in '000 Ha 
Production in '000 MT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tabSelected="1" zoomScaleNormal="100" workbookViewId="0">
      <pane xSplit="1" ySplit="3" topLeftCell="S4" activePane="bottomRight" state="frozen"/>
      <selection pane="topRight" activeCell="B1" sqref="B1"/>
      <selection pane="bottomLeft" activeCell="A4" sqref="A4"/>
      <selection pane="bottomRight" activeCell="V56" sqref="V56"/>
    </sheetView>
  </sheetViews>
  <sheetFormatPr defaultColWidth="8.28515625" defaultRowHeight="14.25" customHeight="1" x14ac:dyDescent="0.2"/>
  <cols>
    <col min="1" max="1" width="22.42578125" style="28" customWidth="1"/>
    <col min="2" max="2" width="8.5703125" style="28" bestFit="1" customWidth="1"/>
    <col min="3" max="3" width="8.42578125" style="28" bestFit="1" customWidth="1"/>
    <col min="4" max="5" width="8.5703125" style="28" bestFit="1" customWidth="1"/>
    <col min="6" max="6" width="8.42578125" style="28" bestFit="1" customWidth="1"/>
    <col min="7" max="11" width="8.5703125" style="28" bestFit="1" customWidth="1"/>
    <col min="12" max="12" width="8.42578125" style="28" bestFit="1" customWidth="1"/>
    <col min="13" max="18" width="8.5703125" style="28" bestFit="1" customWidth="1"/>
    <col min="19" max="19" width="8.42578125" style="28" bestFit="1" customWidth="1"/>
    <col min="20" max="21" width="8.5703125" style="28" bestFit="1" customWidth="1"/>
    <col min="22" max="25" width="8.42578125" style="28" bestFit="1" customWidth="1"/>
    <col min="26" max="30" width="8.5703125" style="28" bestFit="1" customWidth="1"/>
    <col min="31" max="31" width="8.7109375" style="28" bestFit="1" customWidth="1"/>
    <col min="32" max="32" width="8.5703125" style="28" bestFit="1" customWidth="1"/>
    <col min="33" max="33" width="8.42578125" style="28" bestFit="1" customWidth="1"/>
    <col min="34" max="39" width="8.5703125" style="28" bestFit="1" customWidth="1"/>
    <col min="40" max="40" width="10" style="28" customWidth="1"/>
    <col min="41" max="41" width="8.5703125" style="28" bestFit="1" customWidth="1"/>
    <col min="42" max="16384" width="8.28515625" style="28"/>
  </cols>
  <sheetData>
    <row r="1" spans="1:41" ht="25.5" customHeight="1" x14ac:dyDescent="0.2">
      <c r="A1" s="29" t="s">
        <v>99</v>
      </c>
      <c r="B1" s="126" t="s">
        <v>187</v>
      </c>
      <c r="C1" s="127"/>
      <c r="D1" s="128"/>
      <c r="E1" s="126" t="s">
        <v>188</v>
      </c>
      <c r="F1" s="127"/>
      <c r="G1" s="128"/>
      <c r="H1" s="126" t="s">
        <v>189</v>
      </c>
      <c r="I1" s="127"/>
      <c r="J1" s="128"/>
      <c r="K1" s="126" t="s">
        <v>190</v>
      </c>
      <c r="L1" s="127"/>
      <c r="M1" s="128"/>
      <c r="N1" s="126" t="s">
        <v>191</v>
      </c>
      <c r="O1" s="127"/>
      <c r="P1" s="128"/>
      <c r="Q1" s="125" t="s">
        <v>192</v>
      </c>
      <c r="R1" s="125"/>
      <c r="S1" s="125"/>
      <c r="T1" s="126" t="s">
        <v>193</v>
      </c>
      <c r="U1" s="127"/>
      <c r="V1" s="128"/>
      <c r="W1" s="126" t="s">
        <v>194</v>
      </c>
      <c r="X1" s="127"/>
      <c r="Y1" s="128"/>
      <c r="Z1" s="125" t="s">
        <v>195</v>
      </c>
      <c r="AA1" s="125"/>
      <c r="AB1" s="125"/>
      <c r="AC1" s="126" t="s">
        <v>196</v>
      </c>
      <c r="AD1" s="127"/>
      <c r="AE1" s="128"/>
      <c r="AF1" s="126" t="s">
        <v>197</v>
      </c>
      <c r="AG1" s="127"/>
      <c r="AH1" s="128"/>
      <c r="AI1" s="126" t="s">
        <v>8</v>
      </c>
      <c r="AJ1" s="127"/>
      <c r="AK1" s="128"/>
      <c r="AL1" s="125" t="s">
        <v>198</v>
      </c>
      <c r="AM1" s="125"/>
      <c r="AN1" s="125"/>
    </row>
    <row r="2" spans="1:41" ht="14.25" customHeight="1" x14ac:dyDescent="0.2">
      <c r="A2" s="30"/>
      <c r="B2" s="29" t="s">
        <v>51</v>
      </c>
      <c r="C2" s="29" t="s">
        <v>10</v>
      </c>
      <c r="D2" s="29" t="s">
        <v>10</v>
      </c>
      <c r="E2" s="29" t="s">
        <v>51</v>
      </c>
      <c r="F2" s="29" t="s">
        <v>10</v>
      </c>
      <c r="G2" s="29" t="s">
        <v>10</v>
      </c>
      <c r="H2" s="29" t="s">
        <v>51</v>
      </c>
      <c r="I2" s="29" t="s">
        <v>10</v>
      </c>
      <c r="J2" s="29" t="s">
        <v>10</v>
      </c>
      <c r="K2" s="29" t="s">
        <v>51</v>
      </c>
      <c r="L2" s="29" t="s">
        <v>10</v>
      </c>
      <c r="M2" s="29" t="s">
        <v>10</v>
      </c>
      <c r="N2" s="29" t="s">
        <v>51</v>
      </c>
      <c r="O2" s="29" t="s">
        <v>10</v>
      </c>
      <c r="P2" s="29" t="s">
        <v>10</v>
      </c>
      <c r="Q2" s="29" t="s">
        <v>51</v>
      </c>
      <c r="R2" s="29" t="s">
        <v>10</v>
      </c>
      <c r="S2" s="29" t="s">
        <v>10</v>
      </c>
      <c r="T2" s="29" t="s">
        <v>51</v>
      </c>
      <c r="U2" s="29" t="s">
        <v>10</v>
      </c>
      <c r="V2" s="29" t="s">
        <v>10</v>
      </c>
      <c r="W2" s="29" t="s">
        <v>51</v>
      </c>
      <c r="X2" s="29" t="s">
        <v>10</v>
      </c>
      <c r="Y2" s="29" t="s">
        <v>10</v>
      </c>
      <c r="Z2" s="29" t="s">
        <v>51</v>
      </c>
      <c r="AA2" s="29" t="s">
        <v>10</v>
      </c>
      <c r="AB2" s="29" t="s">
        <v>10</v>
      </c>
      <c r="AC2" s="29" t="s">
        <v>51</v>
      </c>
      <c r="AD2" s="29" t="s">
        <v>10</v>
      </c>
      <c r="AE2" s="29" t="s">
        <v>10</v>
      </c>
      <c r="AF2" s="29" t="s">
        <v>51</v>
      </c>
      <c r="AG2" s="29" t="s">
        <v>10</v>
      </c>
      <c r="AH2" s="29" t="s">
        <v>10</v>
      </c>
      <c r="AI2" s="29" t="s">
        <v>51</v>
      </c>
      <c r="AJ2" s="29" t="s">
        <v>10</v>
      </c>
      <c r="AK2" s="29" t="s">
        <v>10</v>
      </c>
      <c r="AL2" s="29" t="s">
        <v>51</v>
      </c>
      <c r="AM2" s="125" t="s">
        <v>10</v>
      </c>
      <c r="AN2" s="125"/>
    </row>
    <row r="3" spans="1:41" ht="14.25" customHeight="1" x14ac:dyDescent="0.2">
      <c r="A3" s="30"/>
      <c r="B3" s="31"/>
      <c r="C3" s="31" t="s">
        <v>199</v>
      </c>
      <c r="D3" s="31" t="s">
        <v>68</v>
      </c>
      <c r="E3" s="31"/>
      <c r="F3" s="31" t="s">
        <v>199</v>
      </c>
      <c r="G3" s="31" t="s">
        <v>68</v>
      </c>
      <c r="H3" s="31"/>
      <c r="I3" s="31" t="s">
        <v>199</v>
      </c>
      <c r="J3" s="31" t="s">
        <v>68</v>
      </c>
      <c r="K3" s="31"/>
      <c r="L3" s="31" t="s">
        <v>199</v>
      </c>
      <c r="M3" s="31" t="s">
        <v>68</v>
      </c>
      <c r="N3" s="31"/>
      <c r="O3" s="31" t="s">
        <v>199</v>
      </c>
      <c r="P3" s="31" t="s">
        <v>68</v>
      </c>
      <c r="Q3" s="31"/>
      <c r="R3" s="31" t="s">
        <v>199</v>
      </c>
      <c r="S3" s="31" t="s">
        <v>68</v>
      </c>
      <c r="T3" s="31"/>
      <c r="U3" s="31" t="s">
        <v>199</v>
      </c>
      <c r="V3" s="31" t="s">
        <v>68</v>
      </c>
      <c r="W3" s="31"/>
      <c r="X3" s="31" t="s">
        <v>199</v>
      </c>
      <c r="Y3" s="31" t="s">
        <v>68</v>
      </c>
      <c r="Z3" s="31"/>
      <c r="AA3" s="31" t="s">
        <v>199</v>
      </c>
      <c r="AB3" s="31" t="s">
        <v>68</v>
      </c>
      <c r="AC3" s="31"/>
      <c r="AD3" s="31" t="s">
        <v>199</v>
      </c>
      <c r="AE3" s="31" t="s">
        <v>68</v>
      </c>
      <c r="AF3" s="31"/>
      <c r="AG3" s="31" t="s">
        <v>199</v>
      </c>
      <c r="AH3" s="31" t="s">
        <v>68</v>
      </c>
      <c r="AI3" s="31"/>
      <c r="AJ3" s="31" t="s">
        <v>67</v>
      </c>
      <c r="AK3" s="31" t="s">
        <v>68</v>
      </c>
      <c r="AL3" s="37"/>
      <c r="AM3" s="29" t="s">
        <v>67</v>
      </c>
      <c r="AN3" s="29" t="s">
        <v>68</v>
      </c>
    </row>
    <row r="4" spans="1:41" ht="14.25" customHeight="1" x14ac:dyDescent="0.2">
      <c r="A4" s="32" t="s">
        <v>11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>
        <v>1.8500000000000001E-3</v>
      </c>
      <c r="R4" s="33">
        <v>1.115E-2</v>
      </c>
      <c r="S4" s="33"/>
      <c r="T4" s="33">
        <v>6.7499999999999999E-3</v>
      </c>
      <c r="U4" s="33">
        <v>9.6920000000000006E-2</v>
      </c>
      <c r="V4" s="33"/>
      <c r="W4" s="33"/>
      <c r="X4" s="33"/>
      <c r="Y4" s="33"/>
      <c r="Z4" s="33">
        <v>3.8E-3</v>
      </c>
      <c r="AA4" s="33">
        <v>3.7240000000000002E-2</v>
      </c>
      <c r="AB4" s="33"/>
      <c r="AC4" s="33"/>
      <c r="AD4" s="33"/>
      <c r="AE4" s="33"/>
      <c r="AF4" s="33"/>
      <c r="AG4" s="33"/>
      <c r="AH4" s="33"/>
      <c r="AI4" s="33">
        <v>2.2599999999999999E-2</v>
      </c>
      <c r="AJ4" s="33">
        <v>0.19600000000000001</v>
      </c>
      <c r="AK4" s="33"/>
      <c r="AL4" s="87">
        <f>B4+E4+H4+K4+N4+Q4+T4+W4+Z4+AC4+AF4+AI4</f>
        <v>3.4999999999999996E-2</v>
      </c>
      <c r="AM4" s="87">
        <f t="shared" ref="AM4:AN19" si="0">C4+F4+I4+L4+O4+R4+U4+X4+AA4+AD4+AG4+AJ4</f>
        <v>0.34131</v>
      </c>
      <c r="AN4" s="87">
        <f t="shared" si="0"/>
        <v>0</v>
      </c>
    </row>
    <row r="5" spans="1:41" ht="14.25" customHeight="1" x14ac:dyDescent="0.2">
      <c r="A5" s="32" t="s">
        <v>12</v>
      </c>
      <c r="B5" s="33"/>
      <c r="C5" s="33"/>
      <c r="D5" s="33"/>
      <c r="E5" s="33"/>
      <c r="F5" s="33"/>
      <c r="G5" s="33"/>
      <c r="H5" s="33">
        <v>10.609</v>
      </c>
      <c r="I5" s="33">
        <v>121.998</v>
      </c>
      <c r="J5" s="33"/>
      <c r="K5" s="33"/>
      <c r="L5" s="33"/>
      <c r="M5" s="33"/>
      <c r="N5" s="33">
        <v>1.4E-2</v>
      </c>
      <c r="O5" s="33"/>
      <c r="P5" s="33">
        <v>7.07</v>
      </c>
      <c r="Q5" s="33">
        <v>33.353999999999999</v>
      </c>
      <c r="R5" s="33">
        <v>166.768</v>
      </c>
      <c r="S5" s="33"/>
      <c r="T5" s="33">
        <v>4.5389999999999997</v>
      </c>
      <c r="U5" s="33">
        <v>34.042000000000002</v>
      </c>
      <c r="V5" s="33"/>
      <c r="W5" s="33"/>
      <c r="X5" s="33"/>
      <c r="Y5" s="33"/>
      <c r="Z5" s="33">
        <v>2.3639999999999999</v>
      </c>
      <c r="AA5" s="33"/>
      <c r="AB5" s="33">
        <v>7092.32</v>
      </c>
      <c r="AC5" s="33">
        <v>2.4500000000000002</v>
      </c>
      <c r="AD5" s="33">
        <v>14.702</v>
      </c>
      <c r="AE5" s="33"/>
      <c r="AF5" s="33"/>
      <c r="AG5" s="33"/>
      <c r="AH5" s="33"/>
      <c r="AI5" s="33">
        <f>1.453+9.37</f>
        <v>10.822999999999999</v>
      </c>
      <c r="AJ5" s="33">
        <f>4.649+46.849</f>
        <v>51.497999999999998</v>
      </c>
      <c r="AK5" s="33"/>
      <c r="AL5" s="87">
        <f t="shared" ref="AL5:AN37" si="1">B5+E5+H5+K5+N5+Q5+T5+W5+Z5+AC5+AF5+AI5</f>
        <v>64.152999999999992</v>
      </c>
      <c r="AM5" s="87">
        <f t="shared" si="0"/>
        <v>389.00799999999998</v>
      </c>
      <c r="AN5" s="87">
        <f t="shared" si="0"/>
        <v>7099.3899999999994</v>
      </c>
    </row>
    <row r="6" spans="1:41" ht="14.25" customHeight="1" x14ac:dyDescent="0.2">
      <c r="A6" s="35" t="s">
        <v>13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>
        <v>1.22</v>
      </c>
      <c r="AJ6" s="33"/>
      <c r="AK6" s="33">
        <v>2860</v>
      </c>
      <c r="AL6" s="87">
        <f t="shared" si="1"/>
        <v>1.22</v>
      </c>
      <c r="AM6" s="87">
        <f t="shared" si="0"/>
        <v>0</v>
      </c>
      <c r="AN6" s="87">
        <f t="shared" si="0"/>
        <v>2860</v>
      </c>
    </row>
    <row r="7" spans="1:41" ht="14.25" customHeight="1" x14ac:dyDescent="0.2">
      <c r="A7" s="32" t="s">
        <v>14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87">
        <f t="shared" si="1"/>
        <v>0</v>
      </c>
      <c r="AM7" s="87">
        <f t="shared" si="0"/>
        <v>0</v>
      </c>
      <c r="AN7" s="87">
        <f t="shared" si="0"/>
        <v>0</v>
      </c>
    </row>
    <row r="8" spans="1:41" ht="14.25" customHeight="1" x14ac:dyDescent="0.2">
      <c r="A8" s="32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>
        <f>0.172+0.729</f>
        <v>0.90100000000000002</v>
      </c>
      <c r="AJ8" s="33">
        <v>8.7200000000000006</v>
      </c>
      <c r="AK8" s="33">
        <v>1285</v>
      </c>
      <c r="AL8" s="87">
        <f t="shared" si="1"/>
        <v>0.90100000000000002</v>
      </c>
      <c r="AM8" s="87">
        <f t="shared" si="0"/>
        <v>8.7200000000000006</v>
      </c>
      <c r="AN8" s="87">
        <f t="shared" si="0"/>
        <v>1285</v>
      </c>
    </row>
    <row r="9" spans="1:41" ht="14.25" customHeight="1" x14ac:dyDescent="0.2">
      <c r="A9" s="32" t="s">
        <v>185</v>
      </c>
      <c r="B9" s="33"/>
      <c r="C9" s="33"/>
      <c r="D9" s="33"/>
      <c r="E9" s="33"/>
      <c r="F9" s="33"/>
      <c r="G9" s="33"/>
      <c r="H9" s="33">
        <v>0.16</v>
      </c>
      <c r="I9" s="33">
        <v>0.48</v>
      </c>
      <c r="J9" s="33"/>
      <c r="K9" s="33"/>
      <c r="L9" s="33"/>
      <c r="M9" s="33"/>
      <c r="N9" s="33">
        <v>2.04</v>
      </c>
      <c r="O9" s="33">
        <v>5.41</v>
      </c>
      <c r="P9" s="33"/>
      <c r="Q9" s="33">
        <v>0.02</v>
      </c>
      <c r="R9" s="33">
        <v>0.04</v>
      </c>
      <c r="S9" s="33"/>
      <c r="T9" s="33">
        <v>2.16</v>
      </c>
      <c r="U9" s="33">
        <v>15.47</v>
      </c>
      <c r="V9" s="33"/>
      <c r="W9" s="33"/>
      <c r="X9" s="33"/>
      <c r="Y9" s="33"/>
      <c r="Z9" s="33">
        <v>0.83</v>
      </c>
      <c r="AA9" s="33">
        <v>1.92</v>
      </c>
      <c r="AB9" s="33"/>
      <c r="AC9" s="33">
        <v>1.79</v>
      </c>
      <c r="AD9" s="33">
        <v>6.55</v>
      </c>
      <c r="AE9" s="33"/>
      <c r="AF9" s="33"/>
      <c r="AG9" s="33"/>
      <c r="AH9" s="33"/>
      <c r="AI9" s="33">
        <v>1.41</v>
      </c>
      <c r="AJ9" s="33">
        <v>2.98</v>
      </c>
      <c r="AK9" s="33"/>
      <c r="AL9" s="87">
        <f t="shared" si="1"/>
        <v>8.41</v>
      </c>
      <c r="AM9" s="87">
        <f t="shared" si="0"/>
        <v>32.85</v>
      </c>
      <c r="AN9" s="87">
        <f t="shared" si="0"/>
        <v>0</v>
      </c>
    </row>
    <row r="10" spans="1:41" ht="14.25" customHeight="1" x14ac:dyDescent="0.2">
      <c r="A10" s="32" t="s">
        <v>17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87">
        <f t="shared" si="1"/>
        <v>0</v>
      </c>
      <c r="AM10" s="87">
        <f t="shared" si="0"/>
        <v>0</v>
      </c>
      <c r="AN10" s="87">
        <f t="shared" si="0"/>
        <v>0</v>
      </c>
    </row>
    <row r="11" spans="1:41" ht="14.25" customHeight="1" x14ac:dyDescent="0.2">
      <c r="A11" s="32" t="s">
        <v>18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87">
        <f t="shared" si="1"/>
        <v>0</v>
      </c>
      <c r="AM11" s="87">
        <f t="shared" si="0"/>
        <v>0</v>
      </c>
      <c r="AN11" s="87">
        <f t="shared" si="0"/>
        <v>0</v>
      </c>
    </row>
    <row r="12" spans="1:41" ht="14.25" customHeight="1" x14ac:dyDescent="0.2">
      <c r="A12" s="32" t="s">
        <v>19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>
        <v>5.5</v>
      </c>
      <c r="AJ12" s="33">
        <v>5.7</v>
      </c>
      <c r="AK12" s="33">
        <v>1038</v>
      </c>
      <c r="AL12" s="87">
        <f t="shared" si="1"/>
        <v>5.5</v>
      </c>
      <c r="AM12" s="87">
        <f t="shared" si="0"/>
        <v>5.7</v>
      </c>
      <c r="AN12" s="87">
        <f t="shared" si="0"/>
        <v>1038</v>
      </c>
    </row>
    <row r="13" spans="1:41" ht="14.25" customHeight="1" x14ac:dyDescent="0.2">
      <c r="A13" s="32" t="s">
        <v>20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87">
        <f t="shared" si="1"/>
        <v>0</v>
      </c>
      <c r="AM13" s="87">
        <f t="shared" si="0"/>
        <v>0</v>
      </c>
      <c r="AN13" s="87">
        <f t="shared" si="0"/>
        <v>0</v>
      </c>
    </row>
    <row r="14" spans="1:41" ht="14.25" customHeight="1" x14ac:dyDescent="0.2">
      <c r="A14" s="32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>
        <v>6.33</v>
      </c>
      <c r="U14" s="33">
        <v>59.12</v>
      </c>
      <c r="V14" s="33"/>
      <c r="W14" s="33"/>
      <c r="X14" s="33"/>
      <c r="Y14" s="33"/>
      <c r="Z14" s="33">
        <v>4.1100000000000003</v>
      </c>
      <c r="AA14" s="33">
        <v>32.14</v>
      </c>
      <c r="AB14" s="33"/>
      <c r="AC14" s="33"/>
      <c r="AD14" s="33"/>
      <c r="AE14" s="33"/>
      <c r="AF14" s="33"/>
      <c r="AG14" s="33"/>
      <c r="AH14" s="33"/>
      <c r="AI14" s="33">
        <v>5.52</v>
      </c>
      <c r="AJ14" s="33">
        <v>44.24</v>
      </c>
      <c r="AK14" s="33"/>
      <c r="AL14" s="87">
        <f t="shared" si="1"/>
        <v>15.96</v>
      </c>
      <c r="AM14" s="87">
        <f t="shared" si="0"/>
        <v>135.5</v>
      </c>
      <c r="AN14" s="87">
        <f t="shared" si="0"/>
        <v>0</v>
      </c>
    </row>
    <row r="15" spans="1:41" ht="14.25" customHeight="1" x14ac:dyDescent="0.2">
      <c r="A15" s="32" t="s">
        <v>22</v>
      </c>
      <c r="B15" s="33"/>
      <c r="C15" s="33"/>
      <c r="D15" s="33"/>
      <c r="E15" s="33"/>
      <c r="F15" s="33"/>
      <c r="G15" s="33"/>
      <c r="H15" s="33">
        <v>7.0000000000000007E-2</v>
      </c>
      <c r="I15" s="33">
        <v>0.75</v>
      </c>
      <c r="J15" s="33">
        <v>62.68</v>
      </c>
      <c r="K15" s="33"/>
      <c r="L15" s="33"/>
      <c r="M15" s="33"/>
      <c r="N15" s="33">
        <v>0.9</v>
      </c>
      <c r="O15" s="33"/>
      <c r="P15" s="33">
        <v>1027.98</v>
      </c>
      <c r="Q15" s="33"/>
      <c r="R15" s="33"/>
      <c r="S15" s="33"/>
      <c r="T15" s="33">
        <v>5.01</v>
      </c>
      <c r="U15" s="33">
        <v>62.97</v>
      </c>
      <c r="V15" s="33"/>
      <c r="W15" s="33"/>
      <c r="X15" s="33"/>
      <c r="Y15" s="33"/>
      <c r="Z15" s="33">
        <v>0.14000000000000001</v>
      </c>
      <c r="AA15" s="33">
        <v>0.2</v>
      </c>
      <c r="AB15" s="33">
        <v>4.4800000000000004</v>
      </c>
      <c r="AC15" s="33">
        <v>0.16</v>
      </c>
      <c r="AD15" s="33">
        <v>0.02</v>
      </c>
      <c r="AE15" s="33">
        <v>171.79</v>
      </c>
      <c r="AF15" s="33"/>
      <c r="AG15" s="33"/>
      <c r="AH15" s="33"/>
      <c r="AI15" s="33">
        <v>0.05</v>
      </c>
      <c r="AJ15" s="33">
        <v>0.21</v>
      </c>
      <c r="AK15" s="33">
        <v>2.54</v>
      </c>
      <c r="AL15" s="87">
        <f t="shared" si="1"/>
        <v>6.3299999999999992</v>
      </c>
      <c r="AM15" s="87">
        <f t="shared" si="0"/>
        <v>64.150000000000006</v>
      </c>
      <c r="AN15" s="87">
        <f t="shared" si="0"/>
        <v>1269.47</v>
      </c>
    </row>
    <row r="16" spans="1:41" ht="14.25" customHeight="1" x14ac:dyDescent="0.2">
      <c r="A16" s="32" t="s">
        <v>23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>
        <f>0.456+0.403</f>
        <v>0.85899999999999999</v>
      </c>
      <c r="AJ16" s="33">
        <v>35.292999999999999</v>
      </c>
      <c r="AK16" s="33">
        <v>1948.057</v>
      </c>
      <c r="AL16" s="87">
        <f t="shared" si="1"/>
        <v>0.85899999999999999</v>
      </c>
      <c r="AM16" s="87">
        <f t="shared" si="0"/>
        <v>35.292999999999999</v>
      </c>
      <c r="AN16" s="87">
        <f t="shared" si="0"/>
        <v>1948.057</v>
      </c>
      <c r="AO16" s="88"/>
    </row>
    <row r="17" spans="1:40" ht="14.25" customHeight="1" x14ac:dyDescent="0.2">
      <c r="A17" s="32" t="s">
        <v>24</v>
      </c>
      <c r="B17" s="33"/>
      <c r="C17" s="33"/>
      <c r="D17" s="33"/>
      <c r="E17" s="33">
        <v>3.0000000000000001E-3</v>
      </c>
      <c r="F17" s="33"/>
      <c r="G17" s="33">
        <v>18</v>
      </c>
      <c r="H17" s="33">
        <v>1.2E-2</v>
      </c>
      <c r="I17" s="33"/>
      <c r="J17" s="33">
        <v>10</v>
      </c>
      <c r="K17" s="33">
        <v>1.1999999999999999E-3</v>
      </c>
      <c r="L17" s="33"/>
      <c r="M17" s="33">
        <v>3</v>
      </c>
      <c r="N17" s="33">
        <v>2.3E-3</v>
      </c>
      <c r="O17" s="33"/>
      <c r="P17" s="33">
        <v>60.92</v>
      </c>
      <c r="Q17" s="33"/>
      <c r="R17" s="33"/>
      <c r="S17" s="33"/>
      <c r="T17" s="33">
        <v>0.115</v>
      </c>
      <c r="U17" s="33">
        <v>1</v>
      </c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>
        <v>1.2E-2</v>
      </c>
      <c r="AG17" s="33"/>
      <c r="AH17" s="33">
        <v>40</v>
      </c>
      <c r="AI17" s="33">
        <v>3.1E-2</v>
      </c>
      <c r="AJ17" s="33">
        <v>0.06</v>
      </c>
      <c r="AK17" s="33">
        <v>24</v>
      </c>
      <c r="AL17" s="87">
        <f t="shared" si="1"/>
        <v>0.17650000000000002</v>
      </c>
      <c r="AM17" s="87">
        <f t="shared" si="0"/>
        <v>1.06</v>
      </c>
      <c r="AN17" s="87">
        <f t="shared" si="0"/>
        <v>155.92000000000002</v>
      </c>
    </row>
    <row r="18" spans="1:40" ht="14.25" customHeight="1" x14ac:dyDescent="0.2">
      <c r="A18" s="32" t="s">
        <v>25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>
        <v>1.6</v>
      </c>
      <c r="AJ18" s="33">
        <v>22.026</v>
      </c>
      <c r="AK18" s="33">
        <v>1711</v>
      </c>
      <c r="AL18" s="87">
        <f t="shared" si="1"/>
        <v>1.6</v>
      </c>
      <c r="AM18" s="87">
        <f t="shared" si="0"/>
        <v>22.026</v>
      </c>
      <c r="AN18" s="87">
        <f t="shared" si="0"/>
        <v>1711</v>
      </c>
    </row>
    <row r="19" spans="1:40" ht="14.25" customHeight="1" x14ac:dyDescent="0.2">
      <c r="A19" s="32" t="s">
        <v>26</v>
      </c>
      <c r="B19" s="33">
        <v>5.6000000000000001E-2</v>
      </c>
      <c r="C19" s="33"/>
      <c r="D19" s="33">
        <v>23</v>
      </c>
      <c r="E19" s="33">
        <v>3.2000000000000001E-2</v>
      </c>
      <c r="F19" s="33"/>
      <c r="G19" s="33">
        <v>339</v>
      </c>
      <c r="H19" s="33">
        <v>5.3090000000000002</v>
      </c>
      <c r="I19" s="33">
        <v>63.866999999999997</v>
      </c>
      <c r="J19" s="33"/>
      <c r="K19" s="33">
        <v>8.4000000000000005E-2</v>
      </c>
      <c r="L19" s="33"/>
      <c r="M19" s="33">
        <v>297</v>
      </c>
      <c r="N19" s="33">
        <v>0.24099999999999999</v>
      </c>
      <c r="O19" s="33"/>
      <c r="P19" s="33">
        <v>482</v>
      </c>
      <c r="Q19" s="33">
        <v>5.8739999999999997</v>
      </c>
      <c r="R19" s="33">
        <v>35.1</v>
      </c>
      <c r="S19" s="33"/>
      <c r="T19" s="33">
        <v>7.7969999999999997</v>
      </c>
      <c r="U19" s="33">
        <v>67.132999999999996</v>
      </c>
      <c r="V19" s="33"/>
      <c r="W19" s="33"/>
      <c r="X19" s="33"/>
      <c r="Y19" s="33"/>
      <c r="Z19" s="33">
        <v>2.524</v>
      </c>
      <c r="AA19" s="33"/>
      <c r="AB19" s="33">
        <v>7303</v>
      </c>
      <c r="AC19" s="33">
        <v>1.752</v>
      </c>
      <c r="AD19" s="33">
        <v>11.617000000000001</v>
      </c>
      <c r="AE19" s="33">
        <v>1884</v>
      </c>
      <c r="AF19" s="33"/>
      <c r="AG19" s="33"/>
      <c r="AH19" s="33"/>
      <c r="AI19" s="33">
        <f>2.063+2.457+0.06+0.031+0.031+0.089+0.08+0.739</f>
        <v>5.5499999999999989</v>
      </c>
      <c r="AJ19" s="33">
        <f>19.803+11.209+0.039+0.077+0.012+0.037+2.646</f>
        <v>33.823</v>
      </c>
      <c r="AK19" s="33">
        <v>60</v>
      </c>
      <c r="AL19" s="87">
        <f t="shared" si="1"/>
        <v>29.219000000000001</v>
      </c>
      <c r="AM19" s="87">
        <f t="shared" si="0"/>
        <v>211.54</v>
      </c>
      <c r="AN19" s="87">
        <f t="shared" si="0"/>
        <v>10388</v>
      </c>
    </row>
    <row r="20" spans="1:40" ht="14.25" customHeight="1" x14ac:dyDescent="0.2">
      <c r="A20" s="32" t="s">
        <v>27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87">
        <f t="shared" si="1"/>
        <v>0</v>
      </c>
      <c r="AM20" s="87">
        <f t="shared" si="1"/>
        <v>0</v>
      </c>
      <c r="AN20" s="87">
        <f t="shared" si="1"/>
        <v>0</v>
      </c>
    </row>
    <row r="21" spans="1:40" ht="14.25" customHeight="1" x14ac:dyDescent="0.2">
      <c r="A21" s="32" t="s">
        <v>28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87">
        <f t="shared" si="1"/>
        <v>0</v>
      </c>
      <c r="AM21" s="87">
        <f t="shared" si="1"/>
        <v>0</v>
      </c>
      <c r="AN21" s="87">
        <f t="shared" si="1"/>
        <v>0</v>
      </c>
    </row>
    <row r="22" spans="1:40" ht="14.25" customHeight="1" x14ac:dyDescent="0.2">
      <c r="A22" s="32" t="s">
        <v>29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>
        <v>15.613</v>
      </c>
      <c r="AJ22" s="33">
        <v>150.66499999999999</v>
      </c>
      <c r="AK22" s="33"/>
      <c r="AL22" s="87">
        <f t="shared" si="1"/>
        <v>15.613</v>
      </c>
      <c r="AM22" s="87">
        <f t="shared" si="1"/>
        <v>150.66499999999999</v>
      </c>
      <c r="AN22" s="87">
        <f t="shared" si="1"/>
        <v>0</v>
      </c>
    </row>
    <row r="23" spans="1:40" ht="14.25" customHeight="1" x14ac:dyDescent="0.2">
      <c r="A23" s="32" t="s">
        <v>30</v>
      </c>
      <c r="B23" s="33"/>
      <c r="C23" s="33"/>
      <c r="D23" s="33"/>
      <c r="E23" s="33"/>
      <c r="F23" s="33"/>
      <c r="G23" s="33"/>
      <c r="H23" s="33">
        <v>2</v>
      </c>
      <c r="I23" s="33">
        <v>8</v>
      </c>
      <c r="J23" s="33"/>
      <c r="K23" s="33"/>
      <c r="L23" s="33"/>
      <c r="M23" s="33"/>
      <c r="N23" s="33">
        <v>0.75</v>
      </c>
      <c r="O23" s="33">
        <v>6</v>
      </c>
      <c r="P23" s="33"/>
      <c r="Q23" s="33">
        <v>2</v>
      </c>
      <c r="R23" s="33">
        <v>4</v>
      </c>
      <c r="S23" s="33"/>
      <c r="T23" s="33">
        <v>6.05</v>
      </c>
      <c r="U23" s="33">
        <v>59</v>
      </c>
      <c r="V23" s="33"/>
      <c r="W23" s="33"/>
      <c r="X23" s="33"/>
      <c r="Y23" s="33"/>
      <c r="Z23" s="33">
        <v>5.53</v>
      </c>
      <c r="AA23" s="33">
        <v>11</v>
      </c>
      <c r="AB23" s="33"/>
      <c r="AC23" s="33">
        <v>0.75</v>
      </c>
      <c r="AD23" s="33">
        <v>5</v>
      </c>
      <c r="AE23" s="33"/>
      <c r="AF23" s="33"/>
      <c r="AG23" s="33"/>
      <c r="AH23" s="33"/>
      <c r="AI23" s="33">
        <f>1.8</f>
        <v>1.8</v>
      </c>
      <c r="AJ23" s="33">
        <v>11</v>
      </c>
      <c r="AK23" s="33">
        <v>7914</v>
      </c>
      <c r="AL23" s="87">
        <f t="shared" si="1"/>
        <v>18.880000000000003</v>
      </c>
      <c r="AM23" s="87">
        <f t="shared" si="1"/>
        <v>104</v>
      </c>
      <c r="AN23" s="87">
        <f t="shared" si="1"/>
        <v>7914</v>
      </c>
    </row>
    <row r="24" spans="1:40" ht="14.25" customHeight="1" x14ac:dyDescent="0.2">
      <c r="A24" s="89" t="s">
        <v>31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87">
        <f t="shared" si="1"/>
        <v>0</v>
      </c>
      <c r="AM24" s="87">
        <f t="shared" si="1"/>
        <v>0</v>
      </c>
      <c r="AN24" s="87">
        <f t="shared" si="1"/>
        <v>0</v>
      </c>
    </row>
    <row r="25" spans="1:40" ht="14.25" customHeight="1" x14ac:dyDescent="0.2">
      <c r="A25" s="32" t="s">
        <v>32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87">
        <f t="shared" si="1"/>
        <v>0</v>
      </c>
      <c r="AM25" s="87">
        <f t="shared" si="1"/>
        <v>0</v>
      </c>
      <c r="AN25" s="87">
        <f t="shared" si="1"/>
        <v>0</v>
      </c>
    </row>
    <row r="26" spans="1:40" ht="14.25" customHeight="1" x14ac:dyDescent="0.2">
      <c r="A26" s="32" t="s">
        <v>33</v>
      </c>
      <c r="B26" s="33">
        <v>3.3000000000000002E-2</v>
      </c>
      <c r="C26" s="33"/>
      <c r="D26" s="33">
        <v>90.75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>
        <v>1E-3</v>
      </c>
      <c r="X26" s="33"/>
      <c r="Y26" s="33">
        <v>6.25E-2</v>
      </c>
      <c r="Z26" s="33">
        <v>8.9999999999999993E-3</v>
      </c>
      <c r="AA26" s="33"/>
      <c r="AB26" s="33">
        <v>43.2</v>
      </c>
      <c r="AC26" s="33"/>
      <c r="AD26" s="33"/>
      <c r="AE26" s="33"/>
      <c r="AF26" s="33"/>
      <c r="AG26" s="33"/>
      <c r="AH26" s="33"/>
      <c r="AI26" s="33">
        <v>8.5999999999999993E-2</v>
      </c>
      <c r="AJ26" s="33"/>
      <c r="AK26" s="33">
        <v>215</v>
      </c>
      <c r="AL26" s="87">
        <f t="shared" si="1"/>
        <v>0.129</v>
      </c>
      <c r="AM26" s="87">
        <f t="shared" si="1"/>
        <v>0</v>
      </c>
      <c r="AN26" s="87">
        <f t="shared" si="1"/>
        <v>349.01249999999999</v>
      </c>
    </row>
    <row r="27" spans="1:40" ht="14.25" customHeight="1" x14ac:dyDescent="0.2">
      <c r="A27" s="35" t="s">
        <v>34</v>
      </c>
      <c r="B27" s="33">
        <v>2E-3</v>
      </c>
      <c r="C27" s="33"/>
      <c r="D27" s="33">
        <v>2.04</v>
      </c>
      <c r="E27" s="33"/>
      <c r="F27" s="33"/>
      <c r="G27" s="33"/>
      <c r="H27" s="33"/>
      <c r="I27" s="33"/>
      <c r="J27" s="33"/>
      <c r="K27" s="33">
        <v>1.8E-3</v>
      </c>
      <c r="L27" s="33"/>
      <c r="M27" s="33">
        <v>3.24</v>
      </c>
      <c r="N27" s="33"/>
      <c r="O27" s="33"/>
      <c r="P27" s="33"/>
      <c r="Q27" s="33"/>
      <c r="R27" s="33"/>
      <c r="S27" s="33"/>
      <c r="T27" s="33"/>
      <c r="U27" s="33"/>
      <c r="V27" s="33"/>
      <c r="W27" s="33">
        <v>1.8E-3</v>
      </c>
      <c r="X27" s="33"/>
      <c r="Y27" s="33">
        <v>0.216</v>
      </c>
      <c r="Z27" s="33">
        <v>3.0000000000000001E-3</v>
      </c>
      <c r="AA27" s="33"/>
      <c r="AB27" s="33">
        <v>3.6</v>
      </c>
      <c r="AC27" s="33"/>
      <c r="AD27" s="33"/>
      <c r="AE27" s="33"/>
      <c r="AF27" s="33"/>
      <c r="AG27" s="33"/>
      <c r="AH27" s="33"/>
      <c r="AI27" s="33">
        <f>0.005+0.0048</f>
        <v>9.7999999999999997E-3</v>
      </c>
      <c r="AJ27" s="33"/>
      <c r="AK27" s="33">
        <f>3.38+2.88</f>
        <v>6.26</v>
      </c>
      <c r="AL27" s="87">
        <f t="shared" si="1"/>
        <v>1.84E-2</v>
      </c>
      <c r="AM27" s="87">
        <f t="shared" si="1"/>
        <v>0</v>
      </c>
      <c r="AN27" s="87">
        <f t="shared" si="1"/>
        <v>15.356</v>
      </c>
    </row>
    <row r="28" spans="1:40" ht="14.25" customHeight="1" x14ac:dyDescent="0.2">
      <c r="A28" s="32" t="s">
        <v>214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>
        <v>2.38</v>
      </c>
      <c r="O28" s="33"/>
      <c r="P28" s="33">
        <v>2360</v>
      </c>
      <c r="Q28" s="33"/>
      <c r="R28" s="33"/>
      <c r="S28" s="33"/>
      <c r="T28" s="33">
        <v>2.69</v>
      </c>
      <c r="U28" s="33">
        <v>24.66</v>
      </c>
      <c r="V28" s="33"/>
      <c r="W28" s="33"/>
      <c r="X28" s="33"/>
      <c r="Y28" s="33"/>
      <c r="Z28" s="33">
        <v>1.93</v>
      </c>
      <c r="AA28" s="33"/>
      <c r="AB28" s="33">
        <v>3660</v>
      </c>
      <c r="AC28" s="33">
        <v>0.54</v>
      </c>
      <c r="AD28" s="33">
        <v>1.419</v>
      </c>
      <c r="AE28" s="33"/>
      <c r="AF28" s="33"/>
      <c r="AG28" s="33"/>
      <c r="AH28" s="33"/>
      <c r="AI28" s="33"/>
      <c r="AJ28" s="33"/>
      <c r="AK28" s="33"/>
      <c r="AL28" s="87">
        <f t="shared" si="1"/>
        <v>7.54</v>
      </c>
      <c r="AM28" s="87">
        <f t="shared" si="1"/>
        <v>26.079000000000001</v>
      </c>
      <c r="AN28" s="87">
        <f t="shared" si="1"/>
        <v>6020</v>
      </c>
    </row>
    <row r="29" spans="1:40" ht="14.25" customHeight="1" x14ac:dyDescent="0.2">
      <c r="A29" s="35" t="s">
        <v>186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>
        <v>1.7399999999999999E-2</v>
      </c>
      <c r="R29" s="33">
        <v>0.104</v>
      </c>
      <c r="S29" s="33"/>
      <c r="T29" s="33">
        <v>3.5999999999999997E-2</v>
      </c>
      <c r="U29" s="33">
        <v>0.23300000000000001</v>
      </c>
      <c r="V29" s="33"/>
      <c r="W29" s="33"/>
      <c r="X29" s="33"/>
      <c r="Y29" s="33"/>
      <c r="Z29" s="33"/>
      <c r="AA29" s="33"/>
      <c r="AB29" s="33"/>
      <c r="AC29" s="33">
        <v>8.3999999999999995E-3</v>
      </c>
      <c r="AD29" s="33">
        <v>3.78E-2</v>
      </c>
      <c r="AE29" s="33"/>
      <c r="AF29" s="33"/>
      <c r="AG29" s="33"/>
      <c r="AH29" s="33"/>
      <c r="AI29" s="33">
        <v>8.2000000000000007E-3</v>
      </c>
      <c r="AJ29" s="33">
        <v>3.2800000000000003E-2</v>
      </c>
      <c r="AK29" s="33"/>
      <c r="AL29" s="87">
        <f t="shared" si="1"/>
        <v>6.9999999999999993E-2</v>
      </c>
      <c r="AM29" s="87">
        <f t="shared" si="1"/>
        <v>0.40760000000000002</v>
      </c>
      <c r="AN29" s="87">
        <f t="shared" si="1"/>
        <v>0</v>
      </c>
    </row>
    <row r="30" spans="1:40" ht="14.25" customHeight="1" x14ac:dyDescent="0.2">
      <c r="A30" s="32" t="s">
        <v>35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>
        <f>1.3+0.76</f>
        <v>2.06</v>
      </c>
      <c r="AJ30" s="33">
        <v>10.054</v>
      </c>
      <c r="AK30" s="33">
        <v>6.5000000000000002E-2</v>
      </c>
      <c r="AL30" s="87">
        <f t="shared" si="1"/>
        <v>2.06</v>
      </c>
      <c r="AM30" s="87">
        <f t="shared" si="1"/>
        <v>10.054</v>
      </c>
      <c r="AN30" s="87">
        <f t="shared" si="1"/>
        <v>6.5000000000000002E-2</v>
      </c>
    </row>
    <row r="31" spans="1:40" ht="14.25" customHeight="1" x14ac:dyDescent="0.2">
      <c r="A31" s="32" t="s">
        <v>36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>
        <v>2.4900000000000002</v>
      </c>
      <c r="AJ31" s="33">
        <v>2.69</v>
      </c>
      <c r="AK31" s="33"/>
      <c r="AL31" s="87">
        <f t="shared" si="1"/>
        <v>2.4900000000000002</v>
      </c>
      <c r="AM31" s="87">
        <f t="shared" si="1"/>
        <v>2.69</v>
      </c>
      <c r="AN31" s="87">
        <f t="shared" si="1"/>
        <v>0</v>
      </c>
    </row>
    <row r="32" spans="1:40" ht="14.25" customHeight="1" x14ac:dyDescent="0.2">
      <c r="A32" s="32" t="s">
        <v>37</v>
      </c>
      <c r="B32" s="33">
        <v>8.0000000000000002E-3</v>
      </c>
      <c r="C32" s="33"/>
      <c r="D32" s="33">
        <v>4.3</v>
      </c>
      <c r="E32" s="33">
        <v>7.0000000000000001E-3</v>
      </c>
      <c r="F32" s="33"/>
      <c r="G32" s="33">
        <v>8.68</v>
      </c>
      <c r="H32" s="33"/>
      <c r="I32" s="33"/>
      <c r="J32" s="33"/>
      <c r="K32" s="33">
        <v>2.7E-2</v>
      </c>
      <c r="L32" s="33"/>
      <c r="M32" s="33">
        <v>16.579999999999998</v>
      </c>
      <c r="N32" s="33">
        <v>2.8000000000000001E-2</v>
      </c>
      <c r="O32" s="33"/>
      <c r="P32" s="33">
        <v>60</v>
      </c>
      <c r="Q32" s="33"/>
      <c r="R32" s="33"/>
      <c r="S32" s="33"/>
      <c r="T32" s="33"/>
      <c r="U32" s="33"/>
      <c r="V32" s="33"/>
      <c r="W32" s="33"/>
      <c r="X32" s="33"/>
      <c r="Y32" s="33"/>
      <c r="Z32" s="33">
        <v>2.4E-2</v>
      </c>
      <c r="AA32" s="33"/>
      <c r="AB32" s="33">
        <v>26.68</v>
      </c>
      <c r="AC32" s="33"/>
      <c r="AD32" s="33"/>
      <c r="AE32" s="33"/>
      <c r="AF32" s="33"/>
      <c r="AG32" s="33"/>
      <c r="AH32" s="33"/>
      <c r="AI32" s="33">
        <f>0.03+0.009+0.018+0.038+0.016</f>
        <v>0.111</v>
      </c>
      <c r="AJ32" s="33">
        <v>25.95</v>
      </c>
      <c r="AK32" s="33">
        <f>29+13.76+18+32.05</f>
        <v>92.81</v>
      </c>
      <c r="AL32" s="87">
        <f t="shared" si="1"/>
        <v>0.20500000000000002</v>
      </c>
      <c r="AM32" s="87">
        <f t="shared" si="1"/>
        <v>25.95</v>
      </c>
      <c r="AN32" s="87">
        <f t="shared" si="1"/>
        <v>209.05</v>
      </c>
    </row>
    <row r="33" spans="1:40" ht="14.25" customHeight="1" x14ac:dyDescent="0.2">
      <c r="A33" s="32" t="s">
        <v>38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>
        <v>32.32</v>
      </c>
      <c r="AJ33" s="33">
        <v>332.81</v>
      </c>
      <c r="AK33" s="33"/>
      <c r="AL33" s="87">
        <f t="shared" si="1"/>
        <v>32.32</v>
      </c>
      <c r="AM33" s="87">
        <f t="shared" si="1"/>
        <v>332.81</v>
      </c>
      <c r="AN33" s="87">
        <f t="shared" si="1"/>
        <v>0</v>
      </c>
    </row>
    <row r="34" spans="1:40" ht="14.25" customHeight="1" x14ac:dyDescent="0.2">
      <c r="A34" s="32" t="s">
        <v>39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87">
        <f t="shared" si="1"/>
        <v>0</v>
      </c>
      <c r="AM34" s="87">
        <f t="shared" si="1"/>
        <v>0</v>
      </c>
      <c r="AN34" s="87">
        <f t="shared" si="1"/>
        <v>0</v>
      </c>
    </row>
    <row r="35" spans="1:40" ht="14.25" customHeight="1" x14ac:dyDescent="0.2">
      <c r="A35" s="32" t="s">
        <v>40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>
        <v>2.6909999999999998</v>
      </c>
      <c r="O35" s="33"/>
      <c r="P35" s="33">
        <v>2691</v>
      </c>
      <c r="Q35" s="33"/>
      <c r="R35" s="33"/>
      <c r="S35" s="33"/>
      <c r="T35" s="33">
        <v>3.0910000000000002</v>
      </c>
      <c r="U35" s="33">
        <v>6.1820000000000004</v>
      </c>
      <c r="V35" s="33"/>
      <c r="W35" s="33"/>
      <c r="X35" s="33"/>
      <c r="Y35" s="33"/>
      <c r="Z35" s="33">
        <v>8.7110000000000003</v>
      </c>
      <c r="AA35" s="33">
        <v>20.87</v>
      </c>
      <c r="AB35" s="33">
        <v>1503</v>
      </c>
      <c r="AC35" s="33"/>
      <c r="AD35" s="33"/>
      <c r="AE35" s="33"/>
      <c r="AF35" s="33"/>
      <c r="AG35" s="33"/>
      <c r="AH35" s="33"/>
      <c r="AI35" s="33"/>
      <c r="AJ35" s="33"/>
      <c r="AK35" s="33"/>
      <c r="AL35" s="87">
        <f t="shared" si="1"/>
        <v>14.493</v>
      </c>
      <c r="AM35" s="87">
        <f t="shared" si="1"/>
        <v>27.052</v>
      </c>
      <c r="AN35" s="87">
        <f t="shared" si="1"/>
        <v>4194</v>
      </c>
    </row>
    <row r="36" spans="1:40" ht="14.25" customHeight="1" x14ac:dyDescent="0.2">
      <c r="A36" s="32" t="s">
        <v>100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>
        <f>0.6+0.944</f>
        <v>1.544</v>
      </c>
      <c r="AJ36" s="33">
        <v>1.8049999999999999</v>
      </c>
      <c r="AK36" s="33">
        <v>3567.56</v>
      </c>
      <c r="AL36" s="87">
        <f t="shared" si="1"/>
        <v>1.544</v>
      </c>
      <c r="AM36" s="87">
        <f t="shared" si="1"/>
        <v>1.8049999999999999</v>
      </c>
      <c r="AN36" s="87">
        <f t="shared" si="1"/>
        <v>3567.56</v>
      </c>
    </row>
    <row r="37" spans="1:40" ht="14.25" customHeight="1" x14ac:dyDescent="0.2">
      <c r="A37" s="32" t="s">
        <v>42</v>
      </c>
      <c r="B37" s="33"/>
      <c r="C37" s="33"/>
      <c r="D37" s="33"/>
      <c r="E37" s="33"/>
      <c r="F37" s="33"/>
      <c r="G37" s="33"/>
      <c r="H37" s="33">
        <v>0.52</v>
      </c>
      <c r="I37" s="33"/>
      <c r="J37" s="33">
        <v>1404</v>
      </c>
      <c r="K37" s="33"/>
      <c r="L37" s="33"/>
      <c r="M37" s="33"/>
      <c r="N37" s="33">
        <v>2.6110000000000002</v>
      </c>
      <c r="O37" s="33"/>
      <c r="P37" s="33">
        <v>3916.5</v>
      </c>
      <c r="Q37" s="33">
        <v>0.46800000000000003</v>
      </c>
      <c r="R37" s="33">
        <v>0.64600000000000002</v>
      </c>
      <c r="S37" s="33"/>
      <c r="T37" s="33">
        <v>6.1740000000000004</v>
      </c>
      <c r="U37" s="33">
        <v>52.073999999999998</v>
      </c>
      <c r="V37" s="33"/>
      <c r="W37" s="33"/>
      <c r="X37" s="33"/>
      <c r="Y37" s="33"/>
      <c r="Z37" s="33">
        <v>1.6879999999999999</v>
      </c>
      <c r="AA37" s="33"/>
      <c r="AB37" s="33">
        <v>7764.8</v>
      </c>
      <c r="AC37" s="33">
        <v>5</v>
      </c>
      <c r="AD37" s="33"/>
      <c r="AE37" s="33">
        <v>11956.8</v>
      </c>
      <c r="AF37" s="33"/>
      <c r="AG37" s="33"/>
      <c r="AH37" s="33"/>
      <c r="AI37" s="33">
        <v>7.46</v>
      </c>
      <c r="AJ37" s="33">
        <v>11.19</v>
      </c>
      <c r="AK37" s="33"/>
      <c r="AL37" s="87">
        <f t="shared" si="1"/>
        <v>23.920999999999999</v>
      </c>
      <c r="AM37" s="87">
        <f t="shared" si="1"/>
        <v>63.91</v>
      </c>
      <c r="AN37" s="87">
        <f t="shared" si="1"/>
        <v>25042.1</v>
      </c>
    </row>
    <row r="38" spans="1:40" ht="14.25" customHeight="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69"/>
      <c r="AM38" s="69"/>
      <c r="AN38" s="69"/>
    </row>
    <row r="39" spans="1:40" ht="14.25" customHeight="1" x14ac:dyDescent="0.2">
      <c r="A39" s="19" t="s">
        <v>9</v>
      </c>
      <c r="B39" s="34">
        <f>SUM(B4:B38)</f>
        <v>9.9000000000000005E-2</v>
      </c>
      <c r="C39" s="34">
        <f t="shared" ref="C39:AN39" si="2">SUM(C4:C38)</f>
        <v>0</v>
      </c>
      <c r="D39" s="34">
        <f t="shared" si="2"/>
        <v>120.09</v>
      </c>
      <c r="E39" s="34">
        <f t="shared" si="2"/>
        <v>4.2000000000000003E-2</v>
      </c>
      <c r="F39" s="34">
        <f t="shared" si="2"/>
        <v>0</v>
      </c>
      <c r="G39" s="34">
        <f t="shared" si="2"/>
        <v>365.68</v>
      </c>
      <c r="H39" s="34">
        <f t="shared" si="2"/>
        <v>18.68</v>
      </c>
      <c r="I39" s="34">
        <f t="shared" si="2"/>
        <v>195.095</v>
      </c>
      <c r="J39" s="34">
        <f t="shared" si="2"/>
        <v>1476.68</v>
      </c>
      <c r="K39" s="34">
        <f t="shared" si="2"/>
        <v>0.114</v>
      </c>
      <c r="L39" s="34">
        <f t="shared" si="2"/>
        <v>0</v>
      </c>
      <c r="M39" s="34">
        <f t="shared" si="2"/>
        <v>319.82</v>
      </c>
      <c r="N39" s="34">
        <f t="shared" si="2"/>
        <v>11.657299999999999</v>
      </c>
      <c r="O39" s="34">
        <f t="shared" si="2"/>
        <v>11.41</v>
      </c>
      <c r="P39" s="34">
        <f t="shared" si="2"/>
        <v>10605.470000000001</v>
      </c>
      <c r="Q39" s="34">
        <f t="shared" si="2"/>
        <v>41.735250000000008</v>
      </c>
      <c r="R39" s="34">
        <f t="shared" si="2"/>
        <v>206.66914999999997</v>
      </c>
      <c r="S39" s="34">
        <f t="shared" si="2"/>
        <v>0</v>
      </c>
      <c r="T39" s="34">
        <f t="shared" si="2"/>
        <v>43.998749999999994</v>
      </c>
      <c r="U39" s="34">
        <f t="shared" si="2"/>
        <v>381.98092000000003</v>
      </c>
      <c r="V39" s="34">
        <f t="shared" si="2"/>
        <v>0</v>
      </c>
      <c r="W39" s="34">
        <f t="shared" si="2"/>
        <v>2.8E-3</v>
      </c>
      <c r="X39" s="34">
        <f t="shared" si="2"/>
        <v>0</v>
      </c>
      <c r="Y39" s="34">
        <f t="shared" si="2"/>
        <v>0.27849999999999997</v>
      </c>
      <c r="Z39" s="34">
        <f t="shared" si="2"/>
        <v>27.866800000000001</v>
      </c>
      <c r="AA39" s="34">
        <f t="shared" si="2"/>
        <v>66.167240000000007</v>
      </c>
      <c r="AB39" s="34">
        <f t="shared" si="2"/>
        <v>27401.079999999998</v>
      </c>
      <c r="AC39" s="34">
        <f t="shared" si="2"/>
        <v>12.4504</v>
      </c>
      <c r="AD39" s="34">
        <f t="shared" si="2"/>
        <v>39.34579999999999</v>
      </c>
      <c r="AE39" s="34">
        <f t="shared" si="2"/>
        <v>14012.59</v>
      </c>
      <c r="AF39" s="34">
        <f t="shared" si="2"/>
        <v>1.2E-2</v>
      </c>
      <c r="AG39" s="34">
        <f t="shared" si="2"/>
        <v>0</v>
      </c>
      <c r="AH39" s="34">
        <f t="shared" si="2"/>
        <v>40</v>
      </c>
      <c r="AI39" s="34">
        <f t="shared" si="2"/>
        <v>96.988599999999991</v>
      </c>
      <c r="AJ39" s="34">
        <f t="shared" si="2"/>
        <v>750.94279999999992</v>
      </c>
      <c r="AK39" s="34">
        <f t="shared" si="2"/>
        <v>20724.292000000001</v>
      </c>
      <c r="AL39" s="34">
        <f t="shared" si="2"/>
        <v>253.64689999999996</v>
      </c>
      <c r="AM39" s="34">
        <f t="shared" si="2"/>
        <v>1651.6109100000001</v>
      </c>
      <c r="AN39" s="34">
        <f t="shared" si="2"/>
        <v>75065.980500000005</v>
      </c>
    </row>
    <row r="40" spans="1:40" ht="11.25" customHeight="1" x14ac:dyDescent="0.2">
      <c r="A40" s="94" t="s">
        <v>228</v>
      </c>
    </row>
    <row r="41" spans="1:40" ht="27" customHeight="1" x14ac:dyDescent="0.2">
      <c r="A41" s="95" t="s">
        <v>227</v>
      </c>
    </row>
  </sheetData>
  <mergeCells count="14">
    <mergeCell ref="N1:P1"/>
    <mergeCell ref="Q1:S1"/>
    <mergeCell ref="T1:V1"/>
    <mergeCell ref="W1:Y1"/>
    <mergeCell ref="B1:D1"/>
    <mergeCell ref="E1:G1"/>
    <mergeCell ref="H1:J1"/>
    <mergeCell ref="K1:M1"/>
    <mergeCell ref="AL1:AN1"/>
    <mergeCell ref="AM2:AN2"/>
    <mergeCell ref="Z1:AB1"/>
    <mergeCell ref="AC1:AE1"/>
    <mergeCell ref="AF1:AH1"/>
    <mergeCell ref="AI1:AK1"/>
  </mergeCells>
  <phoneticPr fontId="24" type="noConversion"/>
  <pageMargins left="0.26" right="0.25" top="0.63" bottom="0.33" header="0.27" footer="0.18"/>
  <pageSetup scale="77" orientation="landscape" verticalDpi="0" r:id="rId1"/>
  <headerFooter alignWithMargins="0">
    <oddHeader>&amp;C&amp;"Arial,Bold"&amp;12Area and Production of Flowers 2011-12 (Final)&amp;R&amp;"Arial,Bold"Area in '000 Ha
 Loose Production in '000 MT
Cut Production in Lakh No.</oddHeader>
  </headerFooter>
  <colBreaks count="2" manualBreakCount="2">
    <brk id="16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Summary</vt:lpstr>
      <vt:lpstr>Hort.11-12</vt:lpstr>
      <vt:lpstr>Fruits11-12</vt:lpstr>
      <vt:lpstr>Citrus11-12</vt:lpstr>
      <vt:lpstr>Veg11-12</vt:lpstr>
      <vt:lpstr>Plant11-12</vt:lpstr>
      <vt:lpstr>Spices 11-12</vt:lpstr>
      <vt:lpstr>Flower 11-12</vt:lpstr>
      <vt:lpstr>'Flower 11-12'!Print_Titles</vt:lpstr>
      <vt:lpstr>'Fruits11-12'!Print_Titles</vt:lpstr>
      <vt:lpstr>'Spices 11-12'!Print_Titles</vt:lpstr>
      <vt:lpstr>Summary!Print_Titles</vt:lpstr>
      <vt:lpstr>'Veg11-12'!Print_Titles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DILIP</dc:creator>
  <cp:lastModifiedBy>NeGPA</cp:lastModifiedBy>
  <cp:lastPrinted>2017-04-17T05:43:29Z</cp:lastPrinted>
  <dcterms:created xsi:type="dcterms:W3CDTF">2009-01-06T09:24:05Z</dcterms:created>
  <dcterms:modified xsi:type="dcterms:W3CDTF">2017-04-19T10:41:35Z</dcterms:modified>
</cp:coreProperties>
</file>