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7785" windowHeight="8205" tabRatio="850" activeTab="7"/>
  </bookViews>
  <sheets>
    <sheet name="SUMMARY" sheetId="43" r:id="rId1"/>
    <sheet name="Horticulture 2012-13" sheetId="34" r:id="rId2"/>
    <sheet name="Fruits 2012-13" sheetId="31" r:id="rId3"/>
    <sheet name="Citrus 2012-13" sheetId="30" r:id="rId4"/>
    <sheet name="Vegetables 2012-13" sheetId="32" r:id="rId5"/>
    <sheet name="Plantations 2012-13" sheetId="29" r:id="rId6"/>
    <sheet name="Spices 2012-13" sheetId="41" r:id="rId7"/>
    <sheet name="Flowers 2012-13" sheetId="40" r:id="rId8"/>
    <sheet name="Flowers 2012-13 (weight)" sheetId="44" r:id="rId9"/>
  </sheets>
  <definedNames>
    <definedName name="_xlnm.Print_Titles" localSheetId="7">'Flowers 2012-13'!$A:$A</definedName>
    <definedName name="_xlnm.Print_Titles" localSheetId="8">'Flowers 2012-13 (weight)'!$A:$A</definedName>
    <definedName name="_xlnm.Print_Titles" localSheetId="2">'Fruits 2012-13'!$A:$A</definedName>
    <definedName name="_xlnm.Print_Titles" localSheetId="6">'Spices 2012-13'!$A:$A</definedName>
    <definedName name="_xlnm.Print_Titles" localSheetId="0">SUMMARY!$1:$6</definedName>
    <definedName name="_xlnm.Print_Titles" localSheetId="4">'Vegetables 2012-13'!$A:$A</definedName>
  </definedNames>
  <calcPr calcId="145621" fullCalcOnLoad="1"/>
</workbook>
</file>

<file path=xl/calcChain.xml><?xml version="1.0" encoding="utf-8"?>
<calcChain xmlns="http://schemas.openxmlformats.org/spreadsheetml/2006/main">
  <c r="AH39" i="44" l="1"/>
  <c r="AG39" i="44"/>
  <c r="AF39" i="44"/>
  <c r="AB39" i="44"/>
  <c r="AA39" i="44"/>
  <c r="X39" i="44"/>
  <c r="W39" i="44"/>
  <c r="R39" i="44"/>
  <c r="Q39" i="44"/>
  <c r="O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N37" i="44"/>
  <c r="AM37" i="44"/>
  <c r="AI37" i="44"/>
  <c r="AL37" i="44"/>
  <c r="AN36" i="44"/>
  <c r="AM36" i="44"/>
  <c r="AI36" i="44"/>
  <c r="AL36" i="44"/>
  <c r="AN35" i="44"/>
  <c r="AM35" i="44"/>
  <c r="Z35" i="44"/>
  <c r="Z39" i="44"/>
  <c r="AN34" i="44"/>
  <c r="AM34" i="44"/>
  <c r="AL34" i="44"/>
  <c r="AN33" i="44"/>
  <c r="AM33" i="44"/>
  <c r="AM39" i="44" s="1"/>
  <c r="AL33" i="44"/>
  <c r="AM32" i="44"/>
  <c r="AN32" i="44"/>
  <c r="AI32" i="44"/>
  <c r="AL32" i="44" s="1"/>
  <c r="AN31" i="44"/>
  <c r="AM31" i="44"/>
  <c r="AL31" i="44"/>
  <c r="AN30" i="44"/>
  <c r="AJ30" i="44"/>
  <c r="AM30" i="44"/>
  <c r="AI30" i="44"/>
  <c r="AL30" i="44" s="1"/>
  <c r="AN29" i="44"/>
  <c r="AM29" i="44"/>
  <c r="AL29" i="44"/>
  <c r="AN28" i="44"/>
  <c r="AM28" i="44"/>
  <c r="AL28" i="44"/>
  <c r="AM27" i="44"/>
  <c r="AI27" i="44"/>
  <c r="AL27" i="44" s="1"/>
  <c r="AN26" i="44"/>
  <c r="AM26" i="44"/>
  <c r="AL26" i="44"/>
  <c r="AN25" i="44"/>
  <c r="AM25" i="44"/>
  <c r="AL25" i="44"/>
  <c r="AN24" i="44"/>
  <c r="AM24" i="44"/>
  <c r="AL24" i="44"/>
  <c r="AN23" i="44"/>
  <c r="AM23" i="44"/>
  <c r="AL23" i="44"/>
  <c r="AN22" i="44"/>
  <c r="AM22" i="44"/>
  <c r="AL22" i="44"/>
  <c r="AN21" i="44"/>
  <c r="AM21" i="44"/>
  <c r="AL21" i="44"/>
  <c r="AN20" i="44"/>
  <c r="AM20" i="44"/>
  <c r="AL20" i="44"/>
  <c r="AM19" i="44"/>
  <c r="AN19" i="44"/>
  <c r="AC19" i="44"/>
  <c r="AL19" i="44" s="1"/>
  <c r="AN18" i="44"/>
  <c r="AM18" i="44"/>
  <c r="AL18" i="44"/>
  <c r="AJ17" i="44"/>
  <c r="AI17" i="44"/>
  <c r="AI39" i="44" s="1"/>
  <c r="AD17" i="44"/>
  <c r="AC17" i="44"/>
  <c r="U17" i="44"/>
  <c r="T17" i="44"/>
  <c r="T39" i="44" s="1"/>
  <c r="P39" i="44"/>
  <c r="N17" i="44"/>
  <c r="N39" i="44"/>
  <c r="AN16" i="44"/>
  <c r="AM16" i="44"/>
  <c r="AI16" i="44"/>
  <c r="AL16" i="44"/>
  <c r="AM15" i="44"/>
  <c r="AI15" i="44"/>
  <c r="AL15" i="44"/>
  <c r="AN14" i="44"/>
  <c r="AM14" i="44"/>
  <c r="AL14" i="44"/>
  <c r="AN13" i="44"/>
  <c r="AM13" i="44"/>
  <c r="AL13" i="44"/>
  <c r="AN12" i="44"/>
  <c r="AM12" i="44"/>
  <c r="AL12" i="44"/>
  <c r="AN11" i="44"/>
  <c r="AM11" i="44"/>
  <c r="AL11" i="44"/>
  <c r="AN10" i="44"/>
  <c r="AM10" i="44"/>
  <c r="AL10" i="44"/>
  <c r="AN9" i="44"/>
  <c r="AJ9" i="44"/>
  <c r="AM9" i="44"/>
  <c r="AI9" i="44"/>
  <c r="AL9" i="44"/>
  <c r="AN8" i="44"/>
  <c r="AM8" i="44"/>
  <c r="AI8" i="44"/>
  <c r="AL8" i="44"/>
  <c r="AN7" i="44"/>
  <c r="AM7" i="44"/>
  <c r="AL7" i="44"/>
  <c r="AN6" i="44"/>
  <c r="AM6" i="44"/>
  <c r="AL6" i="44"/>
  <c r="AN5" i="44"/>
  <c r="AJ5" i="44"/>
  <c r="AM5" i="44" s="1"/>
  <c r="AI5" i="44"/>
  <c r="AL5" i="44" s="1"/>
  <c r="AN4" i="44"/>
  <c r="AN39" i="44" s="1"/>
  <c r="AM4" i="44"/>
  <c r="AL4" i="44"/>
  <c r="AS28" i="32"/>
  <c r="AR28" i="32"/>
  <c r="AT28" i="32" s="1"/>
  <c r="D32" i="34" s="1"/>
  <c r="C38" i="31"/>
  <c r="D38" i="31"/>
  <c r="E38" i="31"/>
  <c r="F38" i="31"/>
  <c r="G38" i="31"/>
  <c r="H38" i="31"/>
  <c r="I38" i="31"/>
  <c r="J38" i="31"/>
  <c r="D11" i="43" s="1"/>
  <c r="K38" i="31"/>
  <c r="E11" i="43"/>
  <c r="L38" i="31"/>
  <c r="M38" i="31"/>
  <c r="E12" i="43" s="1"/>
  <c r="N38" i="31"/>
  <c r="D19" i="43" s="1"/>
  <c r="O38" i="31"/>
  <c r="E19" i="43" s="1"/>
  <c r="P38" i="31"/>
  <c r="Q38" i="31"/>
  <c r="E20" i="43"/>
  <c r="R38" i="31"/>
  <c r="S38" i="31"/>
  <c r="E21" i="43" s="1"/>
  <c r="T38" i="31"/>
  <c r="U38" i="31"/>
  <c r="V38" i="31"/>
  <c r="D23" i="43" s="1"/>
  <c r="W38" i="31"/>
  <c r="E23" i="43" s="1"/>
  <c r="X38" i="31"/>
  <c r="Y38" i="31"/>
  <c r="Z38" i="31"/>
  <c r="D25" i="43" s="1"/>
  <c r="AA38" i="31"/>
  <c r="E25" i="43" s="1"/>
  <c r="AB38" i="31"/>
  <c r="D26" i="43" s="1"/>
  <c r="AC38" i="31"/>
  <c r="E26" i="43"/>
  <c r="AD38" i="31"/>
  <c r="AE38" i="31"/>
  <c r="E27" i="43" s="1"/>
  <c r="AH38" i="31"/>
  <c r="AI38" i="31"/>
  <c r="AJ38" i="31"/>
  <c r="D29" i="43"/>
  <c r="AK38" i="31"/>
  <c r="AL38" i="31"/>
  <c r="AM38" i="31"/>
  <c r="AN38" i="31"/>
  <c r="D30" i="43" s="1"/>
  <c r="AO38" i="31"/>
  <c r="E30" i="43" s="1"/>
  <c r="AP38" i="31"/>
  <c r="D31" i="43" s="1"/>
  <c r="AQ38" i="31"/>
  <c r="AR38" i="31"/>
  <c r="D32" i="43" s="1"/>
  <c r="AS38" i="31"/>
  <c r="E32" i="43" s="1"/>
  <c r="AT38" i="31"/>
  <c r="AU38" i="31"/>
  <c r="AV38" i="31"/>
  <c r="AW38" i="31"/>
  <c r="AX38" i="31"/>
  <c r="AY38" i="31"/>
  <c r="B38" i="31"/>
  <c r="D8" i="43" s="1"/>
  <c r="AI17" i="40"/>
  <c r="AC17" i="40"/>
  <c r="U17" i="40"/>
  <c r="T17" i="40"/>
  <c r="T39" i="40" s="1"/>
  <c r="N17" i="40"/>
  <c r="N39" i="40"/>
  <c r="AC19" i="40"/>
  <c r="AS29" i="32"/>
  <c r="AU29" i="32" s="1"/>
  <c r="E33" i="34" s="1"/>
  <c r="AR29" i="32"/>
  <c r="AS7" i="32"/>
  <c r="AU7" i="32" s="1"/>
  <c r="E11" i="34" s="1"/>
  <c r="AU4" i="32"/>
  <c r="AU5" i="32"/>
  <c r="AU6" i="32"/>
  <c r="AU8" i="32"/>
  <c r="AU9" i="32"/>
  <c r="AU10" i="32"/>
  <c r="AU11" i="32"/>
  <c r="E15" i="34"/>
  <c r="AU12" i="32"/>
  <c r="E16" i="34"/>
  <c r="AU13" i="32"/>
  <c r="AU16" i="32"/>
  <c r="E20" i="34" s="1"/>
  <c r="AU19" i="32"/>
  <c r="E23" i="34" s="1"/>
  <c r="AU20" i="32"/>
  <c r="E24" i="34" s="1"/>
  <c r="AU22" i="32"/>
  <c r="AU23" i="32"/>
  <c r="E27" i="34"/>
  <c r="AU24" i="32"/>
  <c r="AU27" i="32"/>
  <c r="E31" i="34" s="1"/>
  <c r="AU28" i="32"/>
  <c r="AU30" i="32"/>
  <c r="E34" i="34" s="1"/>
  <c r="AU33" i="32"/>
  <c r="AU34" i="32"/>
  <c r="E38" i="34"/>
  <c r="AT4" i="32"/>
  <c r="AT5" i="32"/>
  <c r="AT6" i="32"/>
  <c r="D10" i="34"/>
  <c r="AT8" i="32"/>
  <c r="AT9" i="32"/>
  <c r="D13" i="34" s="1"/>
  <c r="AT10" i="32"/>
  <c r="AT11" i="32"/>
  <c r="AT12" i="32"/>
  <c r="D16" i="34" s="1"/>
  <c r="AT13" i="32"/>
  <c r="D17" i="34"/>
  <c r="AT16" i="32"/>
  <c r="AT19" i="32"/>
  <c r="AT20" i="32"/>
  <c r="AT22" i="32"/>
  <c r="AT23" i="32"/>
  <c r="AT24" i="32"/>
  <c r="D28" i="34" s="1"/>
  <c r="AT27" i="32"/>
  <c r="AT29" i="32"/>
  <c r="D33" i="34" s="1"/>
  <c r="AT30" i="32"/>
  <c r="AT33" i="32"/>
  <c r="D37" i="34"/>
  <c r="AT34" i="32"/>
  <c r="C38" i="32"/>
  <c r="D38" i="32"/>
  <c r="D39" i="43"/>
  <c r="E38" i="32"/>
  <c r="E39" i="43" s="1"/>
  <c r="F38" i="32"/>
  <c r="D40" i="43" s="1"/>
  <c r="G38" i="32"/>
  <c r="H38" i="32"/>
  <c r="I38" i="32"/>
  <c r="J38" i="32"/>
  <c r="D42" i="43" s="1"/>
  <c r="K38" i="32"/>
  <c r="L38" i="32"/>
  <c r="D43" i="43"/>
  <c r="M38" i="32"/>
  <c r="E43" i="43"/>
  <c r="N38" i="32"/>
  <c r="D44" i="43"/>
  <c r="O38" i="32"/>
  <c r="P38" i="32"/>
  <c r="Q38" i="32"/>
  <c r="E45" i="43"/>
  <c r="R38" i="32"/>
  <c r="S38" i="32"/>
  <c r="T38" i="32"/>
  <c r="U38" i="32"/>
  <c r="V38" i="32"/>
  <c r="W38" i="32"/>
  <c r="X38" i="32"/>
  <c r="D49" i="43"/>
  <c r="Y38" i="32"/>
  <c r="E49" i="43"/>
  <c r="Z38" i="32"/>
  <c r="AA38" i="32"/>
  <c r="AB38" i="32"/>
  <c r="D50" i="43"/>
  <c r="AC38" i="32"/>
  <c r="E50" i="43"/>
  <c r="AF38" i="32"/>
  <c r="D52" i="43"/>
  <c r="AG38" i="32"/>
  <c r="AH38" i="32"/>
  <c r="D53" i="43" s="1"/>
  <c r="AI38" i="32"/>
  <c r="E53" i="43" s="1"/>
  <c r="AJ38" i="32"/>
  <c r="D54" i="43" s="1"/>
  <c r="AK38" i="32"/>
  <c r="AL38" i="32"/>
  <c r="AM38" i="32"/>
  <c r="E55" i="43" s="1"/>
  <c r="AN38" i="32"/>
  <c r="D56" i="43" s="1"/>
  <c r="AO38" i="32"/>
  <c r="AP38" i="32"/>
  <c r="D57" i="43"/>
  <c r="AQ38" i="32"/>
  <c r="E57" i="43"/>
  <c r="B38" i="32"/>
  <c r="D20" i="43"/>
  <c r="D22" i="43"/>
  <c r="D27" i="43"/>
  <c r="K4" i="30"/>
  <c r="K5" i="30"/>
  <c r="AG5" i="31" s="1"/>
  <c r="BC5" i="31" s="1"/>
  <c r="C9" i="34" s="1"/>
  <c r="K6" i="30"/>
  <c r="AG6" i="31" s="1"/>
  <c r="BC6" i="31" s="1"/>
  <c r="C10" i="34" s="1"/>
  <c r="K7" i="30"/>
  <c r="K8" i="30"/>
  <c r="AG8" i="31" s="1"/>
  <c r="BC8" i="31"/>
  <c r="C12" i="34" s="1"/>
  <c r="K9" i="30"/>
  <c r="K10" i="30"/>
  <c r="K11" i="30"/>
  <c r="K12" i="30"/>
  <c r="K13" i="30"/>
  <c r="AG13" i="31" s="1"/>
  <c r="BC13" i="31" s="1"/>
  <c r="C17" i="34" s="1"/>
  <c r="P17" i="34" s="1"/>
  <c r="K14" i="30"/>
  <c r="K15" i="30"/>
  <c r="AG15" i="31"/>
  <c r="BC15" i="31" s="1"/>
  <c r="C19" i="34" s="1"/>
  <c r="P19" i="34" s="1"/>
  <c r="K16" i="30"/>
  <c r="AG16" i="31"/>
  <c r="K17" i="30"/>
  <c r="AG17" i="31"/>
  <c r="BC17" i="31" s="1"/>
  <c r="C21" i="34" s="1"/>
  <c r="P21" i="34" s="1"/>
  <c r="K18" i="30"/>
  <c r="AG18" i="31"/>
  <c r="BC18" i="31" s="1"/>
  <c r="C22" i="34" s="1"/>
  <c r="K19" i="30"/>
  <c r="K20" i="30"/>
  <c r="AG20" i="31" s="1"/>
  <c r="BC20" i="31" s="1"/>
  <c r="C24" i="34" s="1"/>
  <c r="P24" i="34" s="1"/>
  <c r="K21" i="30"/>
  <c r="AG21" i="31" s="1"/>
  <c r="K22" i="30"/>
  <c r="K23" i="30"/>
  <c r="K24" i="30"/>
  <c r="AG24" i="31" s="1"/>
  <c r="BC24" i="31" s="1"/>
  <c r="C28" i="34" s="1"/>
  <c r="K25" i="30"/>
  <c r="AG25" i="31" s="1"/>
  <c r="K26" i="30"/>
  <c r="AG26" i="31" s="1"/>
  <c r="BC26" i="31" s="1"/>
  <c r="C30" i="34" s="1"/>
  <c r="K27" i="30"/>
  <c r="K28" i="30"/>
  <c r="K29" i="30"/>
  <c r="K30" i="30"/>
  <c r="K31" i="30"/>
  <c r="K32" i="30"/>
  <c r="AG32" i="31"/>
  <c r="BC32" i="31" s="1"/>
  <c r="C36" i="34" s="1"/>
  <c r="K33" i="30"/>
  <c r="K34" i="30"/>
  <c r="K35" i="30"/>
  <c r="K36" i="30"/>
  <c r="J4" i="30"/>
  <c r="AF4" i="31"/>
  <c r="BB4" i="31" s="1"/>
  <c r="B8" i="34" s="1"/>
  <c r="O8" i="34" s="1"/>
  <c r="J5" i="30"/>
  <c r="J6" i="30"/>
  <c r="J7" i="30"/>
  <c r="AF7" i="31"/>
  <c r="BB7" i="31" s="1"/>
  <c r="B11" i="34" s="1"/>
  <c r="J8" i="30"/>
  <c r="AF8" i="31"/>
  <c r="BB8" i="31" s="1"/>
  <c r="B12" i="34"/>
  <c r="J9" i="30"/>
  <c r="J10" i="30"/>
  <c r="J11" i="30"/>
  <c r="J12" i="30"/>
  <c r="AF12" i="31" s="1"/>
  <c r="BB12" i="31" s="1"/>
  <c r="B16" i="34" s="1"/>
  <c r="J13" i="30"/>
  <c r="J14" i="30"/>
  <c r="J15" i="30"/>
  <c r="AF15" i="31" s="1"/>
  <c r="J16" i="30"/>
  <c r="AF16" i="31" s="1"/>
  <c r="BB16" i="31" s="1"/>
  <c r="B20" i="34" s="1"/>
  <c r="O20" i="34" s="1"/>
  <c r="J17" i="30"/>
  <c r="AF17" i="31" s="1"/>
  <c r="BB17" i="31" s="1"/>
  <c r="B21" i="34" s="1"/>
  <c r="J18" i="30"/>
  <c r="J19" i="30"/>
  <c r="AF19" i="31"/>
  <c r="BB19" i="31" s="1"/>
  <c r="B23" i="34" s="1"/>
  <c r="O23" i="34" s="1"/>
  <c r="J20" i="30"/>
  <c r="J21" i="30"/>
  <c r="AF21" i="31" s="1"/>
  <c r="BB21" i="31"/>
  <c r="B25" i="34" s="1"/>
  <c r="O25" i="34" s="1"/>
  <c r="J22" i="30"/>
  <c r="J23" i="30"/>
  <c r="AF23" i="31"/>
  <c r="BB23" i="31" s="1"/>
  <c r="B27" i="34" s="1"/>
  <c r="J24" i="30"/>
  <c r="AF24" i="31"/>
  <c r="J25" i="30"/>
  <c r="J26" i="30"/>
  <c r="J27" i="30"/>
  <c r="AF27" i="31"/>
  <c r="BB27" i="31" s="1"/>
  <c r="B31" i="34" s="1"/>
  <c r="J28" i="30"/>
  <c r="J29" i="30"/>
  <c r="AF29" i="31" s="1"/>
  <c r="BB29" i="31" s="1"/>
  <c r="B33" i="34" s="1"/>
  <c r="J30" i="30"/>
  <c r="J31" i="30"/>
  <c r="J32" i="30"/>
  <c r="J33" i="30"/>
  <c r="J34" i="30"/>
  <c r="J35" i="30"/>
  <c r="AF35" i="31"/>
  <c r="J36" i="30"/>
  <c r="K3" i="30"/>
  <c r="K38" i="30" s="1"/>
  <c r="J3" i="30"/>
  <c r="AF3" i="31"/>
  <c r="BB3" i="31" s="1"/>
  <c r="B7" i="34"/>
  <c r="C38" i="30"/>
  <c r="E14" i="43"/>
  <c r="D38" i="30"/>
  <c r="D15" i="43"/>
  <c r="E38" i="30"/>
  <c r="E15" i="43"/>
  <c r="F38" i="30"/>
  <c r="G38" i="30"/>
  <c r="E16" i="43" s="1"/>
  <c r="H38" i="30"/>
  <c r="I38" i="30"/>
  <c r="B38" i="30"/>
  <c r="D14" i="43"/>
  <c r="C38" i="29"/>
  <c r="D38" i="29"/>
  <c r="E38" i="29"/>
  <c r="E69" i="43"/>
  <c r="F38" i="29"/>
  <c r="G38" i="29"/>
  <c r="H38" i="29"/>
  <c r="D71" i="43"/>
  <c r="I38" i="29"/>
  <c r="E71" i="43"/>
  <c r="B38" i="29"/>
  <c r="D68" i="43"/>
  <c r="K4" i="29"/>
  <c r="N8" i="34" s="1"/>
  <c r="K5" i="29"/>
  <c r="K6" i="29"/>
  <c r="N10" i="34" s="1"/>
  <c r="K7" i="29"/>
  <c r="N11" i="34" s="1"/>
  <c r="K8" i="29"/>
  <c r="N12" i="34" s="1"/>
  <c r="K9" i="29"/>
  <c r="K10" i="29"/>
  <c r="K11" i="29"/>
  <c r="K12" i="29"/>
  <c r="K13" i="29"/>
  <c r="K14" i="29"/>
  <c r="K15" i="29"/>
  <c r="K16" i="29"/>
  <c r="K17" i="29"/>
  <c r="K18" i="29"/>
  <c r="N22" i="34"/>
  <c r="K19" i="29"/>
  <c r="N23" i="34"/>
  <c r="K20" i="29"/>
  <c r="N24" i="34"/>
  <c r="K21" i="29"/>
  <c r="K22" i="29"/>
  <c r="N26" i="34" s="1"/>
  <c r="K23" i="29"/>
  <c r="N27" i="34" s="1"/>
  <c r="K24" i="29"/>
  <c r="K25" i="29"/>
  <c r="N29" i="34"/>
  <c r="K26" i="29"/>
  <c r="N30" i="34"/>
  <c r="K27" i="29"/>
  <c r="N31" i="34"/>
  <c r="K28" i="29"/>
  <c r="K29" i="29"/>
  <c r="N33" i="34" s="1"/>
  <c r="K30" i="29"/>
  <c r="N34" i="34" s="1"/>
  <c r="K31" i="29"/>
  <c r="K32" i="29"/>
  <c r="K33" i="29"/>
  <c r="N37" i="34" s="1"/>
  <c r="K34" i="29"/>
  <c r="N38" i="34" s="1"/>
  <c r="K35" i="29"/>
  <c r="N39" i="34" s="1"/>
  <c r="K36" i="29"/>
  <c r="J4" i="29"/>
  <c r="M8" i="34"/>
  <c r="J5" i="29"/>
  <c r="M9" i="34"/>
  <c r="J6" i="29"/>
  <c r="J7" i="29"/>
  <c r="M11" i="34" s="1"/>
  <c r="J8" i="29"/>
  <c r="M12" i="34"/>
  <c r="J9" i="29"/>
  <c r="J10" i="29"/>
  <c r="J11" i="29"/>
  <c r="J12" i="29"/>
  <c r="M16" i="34" s="1"/>
  <c r="J13" i="29"/>
  <c r="M17" i="34" s="1"/>
  <c r="J14" i="29"/>
  <c r="J15" i="29"/>
  <c r="J16" i="29"/>
  <c r="J17" i="29"/>
  <c r="M21" i="34"/>
  <c r="J18" i="29"/>
  <c r="J19" i="29"/>
  <c r="M23" i="34" s="1"/>
  <c r="J20" i="29"/>
  <c r="M24" i="34" s="1"/>
  <c r="J21" i="29"/>
  <c r="M25" i="34" s="1"/>
  <c r="J22" i="29"/>
  <c r="J23" i="29"/>
  <c r="M27" i="34"/>
  <c r="J24" i="29"/>
  <c r="M28" i="34"/>
  <c r="J25" i="29"/>
  <c r="M29" i="34"/>
  <c r="J26" i="29"/>
  <c r="M30" i="34"/>
  <c r="J27" i="29"/>
  <c r="J28" i="29"/>
  <c r="J29" i="29"/>
  <c r="J30" i="29"/>
  <c r="J31" i="29"/>
  <c r="J32" i="29"/>
  <c r="M36" i="34" s="1"/>
  <c r="J33" i="29"/>
  <c r="J34" i="29"/>
  <c r="M38" i="34"/>
  <c r="J35" i="29"/>
  <c r="M39" i="34"/>
  <c r="J36" i="29"/>
  <c r="M40" i="34"/>
  <c r="K3" i="29"/>
  <c r="J3" i="29"/>
  <c r="M7" i="34" s="1"/>
  <c r="M42" i="34" s="1"/>
  <c r="AS21" i="32"/>
  <c r="AU21" i="32" s="1"/>
  <c r="E25" i="34" s="1"/>
  <c r="AR21" i="32"/>
  <c r="AT21" i="32"/>
  <c r="D25" i="34" s="1"/>
  <c r="BA21" i="31"/>
  <c r="AZ21" i="31"/>
  <c r="AK17" i="40"/>
  <c r="AD17" i="40"/>
  <c r="P17" i="40"/>
  <c r="BA16" i="31"/>
  <c r="AZ16" i="31"/>
  <c r="J29" i="34"/>
  <c r="AS25" i="32"/>
  <c r="AU25" i="32" s="1"/>
  <c r="E29" i="34" s="1"/>
  <c r="P29" i="34" s="1"/>
  <c r="AR25" i="32"/>
  <c r="AT25" i="32"/>
  <c r="D29" i="34" s="1"/>
  <c r="I29" i="34"/>
  <c r="BA25" i="31"/>
  <c r="AZ25" i="31"/>
  <c r="AS32" i="32"/>
  <c r="AU32" i="32"/>
  <c r="E36" i="34" s="1"/>
  <c r="AR32" i="32"/>
  <c r="AT32" i="32" s="1"/>
  <c r="D36" i="34"/>
  <c r="AI15" i="40"/>
  <c r="AS14" i="32"/>
  <c r="AU14" i="32" s="1"/>
  <c r="AR14" i="32"/>
  <c r="AT14" i="32" s="1"/>
  <c r="D18" i="34"/>
  <c r="AS15" i="32"/>
  <c r="AU15" i="32"/>
  <c r="E19" i="34" s="1"/>
  <c r="BA14" i="31"/>
  <c r="AZ14" i="31"/>
  <c r="AJ5" i="40"/>
  <c r="AM5" i="40" s="1"/>
  <c r="G8" i="34" s="1"/>
  <c r="AI5" i="40"/>
  <c r="AS17" i="32"/>
  <c r="AU17" i="32" s="1"/>
  <c r="E21" i="34"/>
  <c r="AR17" i="32"/>
  <c r="AT17" i="32"/>
  <c r="D21" i="34" s="1"/>
  <c r="AJ17" i="40"/>
  <c r="AE19" i="40"/>
  <c r="AN19" i="40"/>
  <c r="H22" i="34" s="1"/>
  <c r="M10" i="34"/>
  <c r="AR15" i="32"/>
  <c r="AT15" i="32"/>
  <c r="D19" i="34" s="1"/>
  <c r="Z35" i="40"/>
  <c r="Z39" i="40" s="1"/>
  <c r="D41" i="43"/>
  <c r="D45" i="43"/>
  <c r="D47" i="43"/>
  <c r="D48" i="43"/>
  <c r="AL7" i="40"/>
  <c r="F10" i="34" s="1"/>
  <c r="D69" i="43"/>
  <c r="E22" i="43"/>
  <c r="E40" i="43"/>
  <c r="E41" i="43"/>
  <c r="E42" i="43"/>
  <c r="E44" i="43"/>
  <c r="E47" i="43"/>
  <c r="E48" i="43"/>
  <c r="E52" i="43"/>
  <c r="E54" i="43"/>
  <c r="E56" i="43"/>
  <c r="AM7" i="40"/>
  <c r="G10" i="34"/>
  <c r="AM35" i="40"/>
  <c r="G38" i="34"/>
  <c r="E68" i="43"/>
  <c r="AN7" i="40"/>
  <c r="H10" i="34" s="1"/>
  <c r="AN35" i="40"/>
  <c r="H38" i="34" s="1"/>
  <c r="D21" i="43"/>
  <c r="BA15" i="31"/>
  <c r="AZ15" i="31"/>
  <c r="D33" i="43"/>
  <c r="D16" i="43"/>
  <c r="D17" i="43"/>
  <c r="D12" i="43"/>
  <c r="E28" i="43"/>
  <c r="E29" i="43"/>
  <c r="E31" i="43"/>
  <c r="E34" i="43"/>
  <c r="AL17" i="40"/>
  <c r="F20" i="34" s="1"/>
  <c r="J22" i="34"/>
  <c r="J42" i="34" s="1"/>
  <c r="E61" i="43" s="1"/>
  <c r="AL19" i="40"/>
  <c r="F22" i="34"/>
  <c r="I22" i="34"/>
  <c r="E38" i="43"/>
  <c r="AM19" i="40"/>
  <c r="G22" i="34"/>
  <c r="AM6" i="40"/>
  <c r="G9" i="34"/>
  <c r="E33" i="43"/>
  <c r="AL6" i="40"/>
  <c r="F9" i="34"/>
  <c r="AN6" i="40"/>
  <c r="H9" i="34"/>
  <c r="E10" i="34"/>
  <c r="E17" i="34"/>
  <c r="E26" i="34"/>
  <c r="D8" i="34"/>
  <c r="D26" i="34"/>
  <c r="D38" i="34"/>
  <c r="AL5" i="40"/>
  <c r="F8" i="34" s="1"/>
  <c r="AI32" i="40"/>
  <c r="AS31" i="32"/>
  <c r="AR31" i="32"/>
  <c r="AE31" i="32"/>
  <c r="AU31" i="32"/>
  <c r="E35" i="34" s="1"/>
  <c r="AD31" i="32"/>
  <c r="AD38" i="32" s="1"/>
  <c r="AN5" i="40"/>
  <c r="H8" i="34" s="1"/>
  <c r="AN8" i="40"/>
  <c r="H11" i="34" s="1"/>
  <c r="AN9" i="40"/>
  <c r="H12" i="34" s="1"/>
  <c r="AN10" i="40"/>
  <c r="H13" i="34" s="1"/>
  <c r="AN11" i="40"/>
  <c r="H14" i="34" s="1"/>
  <c r="AN12" i="40"/>
  <c r="H15" i="34" s="1"/>
  <c r="AN13" i="40"/>
  <c r="H16" i="34" s="1"/>
  <c r="AN14" i="40"/>
  <c r="H17" i="34" s="1"/>
  <c r="AN16" i="40"/>
  <c r="H19" i="34" s="1"/>
  <c r="AN18" i="40"/>
  <c r="H21" i="34" s="1"/>
  <c r="AN20" i="40"/>
  <c r="H23" i="34" s="1"/>
  <c r="AN21" i="40"/>
  <c r="H24" i="34" s="1"/>
  <c r="AN22" i="40"/>
  <c r="H25" i="34" s="1"/>
  <c r="AN23" i="40"/>
  <c r="H26" i="34" s="1"/>
  <c r="AN24" i="40"/>
  <c r="H27" i="34" s="1"/>
  <c r="AN25" i="40"/>
  <c r="H28" i="34" s="1"/>
  <c r="AN26" i="40"/>
  <c r="H29" i="34" s="1"/>
  <c r="AN28" i="40"/>
  <c r="H31" i="34" s="1"/>
  <c r="AN29" i="40"/>
  <c r="H32" i="34" s="1"/>
  <c r="AN30" i="40"/>
  <c r="H33" i="34" s="1"/>
  <c r="AN31" i="40"/>
  <c r="H34" i="34" s="1"/>
  <c r="AN33" i="40"/>
  <c r="H36" i="34" s="1"/>
  <c r="AN34" i="40"/>
  <c r="H37" i="34" s="1"/>
  <c r="AN36" i="40"/>
  <c r="H39" i="34" s="1"/>
  <c r="AN37" i="40"/>
  <c r="H40" i="34" s="1"/>
  <c r="AM8" i="40"/>
  <c r="G11" i="34" s="1"/>
  <c r="AM10" i="40"/>
  <c r="G13" i="34" s="1"/>
  <c r="AM11" i="40"/>
  <c r="G14" i="34" s="1"/>
  <c r="P14" i="34"/>
  <c r="AM12" i="40"/>
  <c r="G15" i="34"/>
  <c r="AM13" i="40"/>
  <c r="G16" i="34"/>
  <c r="AM14" i="40"/>
  <c r="G17" i="34"/>
  <c r="AM15" i="40"/>
  <c r="G18" i="34"/>
  <c r="AM16" i="40"/>
  <c r="G19" i="34"/>
  <c r="AM18" i="40"/>
  <c r="G21" i="34"/>
  <c r="AM20" i="40"/>
  <c r="G23" i="34"/>
  <c r="AM21" i="40"/>
  <c r="G24" i="34"/>
  <c r="AM22" i="40"/>
  <c r="G25" i="34"/>
  <c r="AM23" i="40"/>
  <c r="G26" i="34"/>
  <c r="AM24" i="40"/>
  <c r="G27" i="34"/>
  <c r="AM25" i="40"/>
  <c r="G28" i="34"/>
  <c r="AM26" i="40"/>
  <c r="G29" i="34"/>
  <c r="AM27" i="40"/>
  <c r="G30" i="34"/>
  <c r="AM28" i="40"/>
  <c r="G31" i="34"/>
  <c r="AM31" i="40"/>
  <c r="G34" i="34"/>
  <c r="AM32" i="40"/>
  <c r="G35" i="34"/>
  <c r="AM33" i="40"/>
  <c r="G36" i="34"/>
  <c r="AM34" i="40"/>
  <c r="G37" i="34"/>
  <c r="AM36" i="40"/>
  <c r="G39" i="34"/>
  <c r="AM37" i="40"/>
  <c r="G40" i="34"/>
  <c r="AL10" i="40"/>
  <c r="F13" i="34"/>
  <c r="AL11" i="40"/>
  <c r="F14" i="34" s="1"/>
  <c r="O14" i="34" s="1"/>
  <c r="AL12" i="40"/>
  <c r="F15" i="34"/>
  <c r="AL13" i="40"/>
  <c r="F16" i="34" s="1"/>
  <c r="AL14" i="40"/>
  <c r="F17" i="34" s="1"/>
  <c r="AL18" i="40"/>
  <c r="F21" i="34" s="1"/>
  <c r="AL20" i="40"/>
  <c r="F23" i="34" s="1"/>
  <c r="AL21" i="40"/>
  <c r="F24" i="34" s="1"/>
  <c r="AL22" i="40"/>
  <c r="F25" i="34" s="1"/>
  <c r="AL23" i="40"/>
  <c r="F26" i="34" s="1"/>
  <c r="AL24" i="40"/>
  <c r="F27" i="34" s="1"/>
  <c r="AL25" i="40"/>
  <c r="F28" i="34" s="1"/>
  <c r="AL26" i="40"/>
  <c r="F29" i="34" s="1"/>
  <c r="AL28" i="40"/>
  <c r="F31" i="34" s="1"/>
  <c r="AL31" i="40"/>
  <c r="F34" i="34" s="1"/>
  <c r="AL32" i="40"/>
  <c r="F35" i="34" s="1"/>
  <c r="AL33" i="40"/>
  <c r="F36" i="34" s="1"/>
  <c r="AL34" i="40"/>
  <c r="F37" i="34"/>
  <c r="AM4" i="40"/>
  <c r="G7" i="34" s="1"/>
  <c r="AN4" i="40"/>
  <c r="H7" i="34"/>
  <c r="N25" i="34"/>
  <c r="N35" i="34"/>
  <c r="M33" i="34"/>
  <c r="M34" i="34"/>
  <c r="M35" i="34"/>
  <c r="AK4" i="41"/>
  <c r="L8" i="34" s="1"/>
  <c r="AK5" i="41"/>
  <c r="L9" i="34"/>
  <c r="AK6" i="41"/>
  <c r="L10" i="34" s="1"/>
  <c r="AK7" i="41"/>
  <c r="AK8" i="41"/>
  <c r="L12" i="34"/>
  <c r="P12" i="34" s="1"/>
  <c r="AK9" i="41"/>
  <c r="L16" i="34" s="1"/>
  <c r="AK10" i="41"/>
  <c r="AK11" i="41"/>
  <c r="L18" i="34" s="1"/>
  <c r="P18" i="34" s="1"/>
  <c r="AK12" i="41"/>
  <c r="L19" i="34"/>
  <c r="AK13" i="41"/>
  <c r="L20" i="34" s="1"/>
  <c r="AK14" i="41"/>
  <c r="AK15" i="41"/>
  <c r="L22" i="34"/>
  <c r="AK16" i="41"/>
  <c r="L23" i="34" s="1"/>
  <c r="AK17" i="41"/>
  <c r="AK18" i="41"/>
  <c r="L26" i="34" s="1"/>
  <c r="AK19" i="41"/>
  <c r="L27" i="34"/>
  <c r="AK20" i="41"/>
  <c r="L28" i="34" s="1"/>
  <c r="AK21" i="41"/>
  <c r="L29" i="34" s="1"/>
  <c r="AK22" i="41"/>
  <c r="AK23" i="41"/>
  <c r="AK24" i="41"/>
  <c r="L32" i="34" s="1"/>
  <c r="AK25" i="41"/>
  <c r="AK26" i="41"/>
  <c r="L34" i="34" s="1"/>
  <c r="AK27" i="41"/>
  <c r="AK28" i="41"/>
  <c r="L36" i="34"/>
  <c r="AK29" i="41"/>
  <c r="L37" i="34" s="1"/>
  <c r="AK30" i="41"/>
  <c r="L38" i="34" s="1"/>
  <c r="AK31" i="41"/>
  <c r="L39" i="34" s="1"/>
  <c r="AK32" i="41"/>
  <c r="AK33" i="41"/>
  <c r="AG4" i="31"/>
  <c r="BC4" i="31" s="1"/>
  <c r="C8" i="34" s="1"/>
  <c r="P8" i="34" s="1"/>
  <c r="AG10" i="31"/>
  <c r="BC10" i="31"/>
  <c r="AG12" i="31"/>
  <c r="BC12" i="31" s="1"/>
  <c r="C16" i="34" s="1"/>
  <c r="P16" i="34" s="1"/>
  <c r="AG14" i="31"/>
  <c r="AG22" i="31"/>
  <c r="BC22" i="31" s="1"/>
  <c r="C26" i="34" s="1"/>
  <c r="AG28" i="31"/>
  <c r="BC28" i="31"/>
  <c r="C32" i="34" s="1"/>
  <c r="AG29" i="31"/>
  <c r="BC29" i="31"/>
  <c r="C33" i="34"/>
  <c r="P33" i="34" s="1"/>
  <c r="AG30" i="31"/>
  <c r="BC30" i="31" s="1"/>
  <c r="C34" i="34" s="1"/>
  <c r="P34" i="34" s="1"/>
  <c r="AG34" i="31"/>
  <c r="BC34" i="31" s="1"/>
  <c r="C38" i="34" s="1"/>
  <c r="P38" i="34" s="1"/>
  <c r="AG36" i="31"/>
  <c r="BC36" i="31"/>
  <c r="C40" i="34" s="1"/>
  <c r="AF5" i="31"/>
  <c r="BB5" i="31"/>
  <c r="B9" i="34"/>
  <c r="O9" i="34" s="1"/>
  <c r="AF9" i="31"/>
  <c r="BB9" i="31" s="1"/>
  <c r="AF11" i="31"/>
  <c r="BB11" i="31"/>
  <c r="AF13" i="31"/>
  <c r="BB13" i="31" s="1"/>
  <c r="B17" i="34" s="1"/>
  <c r="O17" i="34" s="1"/>
  <c r="AF22" i="31"/>
  <c r="BB22" i="31" s="1"/>
  <c r="B26" i="34" s="1"/>
  <c r="AG7" i="31"/>
  <c r="BC7" i="31"/>
  <c r="C11" i="34" s="1"/>
  <c r="P11" i="34" s="1"/>
  <c r="AG9" i="31"/>
  <c r="BC9" i="31"/>
  <c r="AG11" i="31"/>
  <c r="BC11" i="31" s="1"/>
  <c r="AG19" i="31"/>
  <c r="BC19" i="31"/>
  <c r="C23" i="34"/>
  <c r="P23" i="34" s="1"/>
  <c r="AG23" i="31"/>
  <c r="BC23" i="31" s="1"/>
  <c r="C27" i="34" s="1"/>
  <c r="P27" i="34" s="1"/>
  <c r="AG27" i="31"/>
  <c r="BC27" i="31" s="1"/>
  <c r="C31" i="34" s="1"/>
  <c r="P31" i="34" s="1"/>
  <c r="AG31" i="31"/>
  <c r="BC31" i="31"/>
  <c r="C35" i="34" s="1"/>
  <c r="P35" i="34" s="1"/>
  <c r="AG33" i="31"/>
  <c r="BC33" i="31"/>
  <c r="C37" i="34"/>
  <c r="AG35" i="31"/>
  <c r="AF6" i="31"/>
  <c r="BB6" i="31"/>
  <c r="B10" i="34"/>
  <c r="AF10" i="31"/>
  <c r="BB10" i="31" s="1"/>
  <c r="AF14" i="31"/>
  <c r="BB14" i="31"/>
  <c r="B18" i="34" s="1"/>
  <c r="O18" i="34" s="1"/>
  <c r="AF18" i="31"/>
  <c r="BB18" i="31"/>
  <c r="B22" i="34"/>
  <c r="AF20" i="31"/>
  <c r="BB20" i="31" s="1"/>
  <c r="B24" i="34" s="1"/>
  <c r="O24" i="34" s="1"/>
  <c r="AF25" i="31"/>
  <c r="BB25" i="31" s="1"/>
  <c r="B29" i="34" s="1"/>
  <c r="O29" i="34" s="1"/>
  <c r="AF26" i="31"/>
  <c r="AF28" i="31"/>
  <c r="BB28" i="31" s="1"/>
  <c r="B32" i="34" s="1"/>
  <c r="O32" i="34" s="1"/>
  <c r="AF30" i="31"/>
  <c r="BB30" i="31" s="1"/>
  <c r="B34" i="34" s="1"/>
  <c r="O34" i="34" s="1"/>
  <c r="AF31" i="31"/>
  <c r="BB31" i="31"/>
  <c r="B35" i="34" s="1"/>
  <c r="AF32" i="31"/>
  <c r="BB32" i="31"/>
  <c r="B36" i="34"/>
  <c r="O36" i="34" s="1"/>
  <c r="AF33" i="31"/>
  <c r="BB33" i="31" s="1"/>
  <c r="B37" i="34" s="1"/>
  <c r="AF34" i="31"/>
  <c r="BB34" i="31" s="1"/>
  <c r="B38" i="34" s="1"/>
  <c r="AF36" i="31"/>
  <c r="BB36" i="31"/>
  <c r="B40" i="34" s="1"/>
  <c r="E8" i="34"/>
  <c r="E9" i="34"/>
  <c r="L11" i="34"/>
  <c r="E12" i="34"/>
  <c r="E13" i="34"/>
  <c r="N16" i="34"/>
  <c r="L17" i="34"/>
  <c r="N17" i="34"/>
  <c r="N21" i="34"/>
  <c r="L25" i="34"/>
  <c r="E28" i="34"/>
  <c r="N28" i="34"/>
  <c r="L30" i="34"/>
  <c r="L31" i="34"/>
  <c r="N32" i="34"/>
  <c r="L33" i="34"/>
  <c r="L35" i="34"/>
  <c r="N36" i="34"/>
  <c r="E37" i="34"/>
  <c r="L40" i="34"/>
  <c r="N40" i="34"/>
  <c r="D9" i="34"/>
  <c r="D12" i="34"/>
  <c r="D15" i="34"/>
  <c r="O15" i="34" s="1"/>
  <c r="D20" i="34"/>
  <c r="M22" i="34"/>
  <c r="D23" i="34"/>
  <c r="D24" i="34"/>
  <c r="M26" i="34"/>
  <c r="D31" i="34"/>
  <c r="M31" i="34"/>
  <c r="M32" i="34"/>
  <c r="D34" i="34"/>
  <c r="M37" i="34"/>
  <c r="AK15" i="40"/>
  <c r="AN15" i="40" s="1"/>
  <c r="H18" i="34" s="1"/>
  <c r="AZ24" i="31"/>
  <c r="BB24" i="31" s="1"/>
  <c r="B28" i="34" s="1"/>
  <c r="BA24" i="31"/>
  <c r="AM29" i="40"/>
  <c r="G32" i="34" s="1"/>
  <c r="AL29" i="40"/>
  <c r="F32" i="34"/>
  <c r="E32" i="34"/>
  <c r="AI36" i="40"/>
  <c r="AL36" i="40"/>
  <c r="F39" i="34"/>
  <c r="AS35" i="32"/>
  <c r="AU35" i="32" s="1"/>
  <c r="E39" i="34" s="1"/>
  <c r="AR35" i="32"/>
  <c r="AT35" i="32" s="1"/>
  <c r="D39" i="34" s="1"/>
  <c r="AS36" i="32"/>
  <c r="AU36" i="32"/>
  <c r="E40" i="34" s="1"/>
  <c r="AR36" i="32"/>
  <c r="AT36" i="32"/>
  <c r="D40" i="34"/>
  <c r="AR7" i="32"/>
  <c r="AT7" i="32" s="1"/>
  <c r="D11" i="34" s="1"/>
  <c r="AS18" i="32"/>
  <c r="AU18" i="32"/>
  <c r="E22" i="34" s="1"/>
  <c r="P22" i="34" s="1"/>
  <c r="AR18" i="32"/>
  <c r="AT18" i="32"/>
  <c r="D22" i="34"/>
  <c r="AS26" i="32"/>
  <c r="AU26" i="32" s="1"/>
  <c r="E30" i="34" s="1"/>
  <c r="AR26" i="32"/>
  <c r="AT26" i="32" s="1"/>
  <c r="D30" i="34" s="1"/>
  <c r="BA26" i="31"/>
  <c r="AZ26" i="31"/>
  <c r="AS3" i="32"/>
  <c r="AU3" i="32" s="1"/>
  <c r="AR3" i="32"/>
  <c r="AT3" i="32"/>
  <c r="AI16" i="40"/>
  <c r="AL16" i="40" s="1"/>
  <c r="F19" i="34" s="1"/>
  <c r="D27" i="34"/>
  <c r="O27" i="34" s="1"/>
  <c r="BA35" i="31"/>
  <c r="BC35" i="31" s="1"/>
  <c r="C39" i="34" s="1"/>
  <c r="P39" i="34" s="1"/>
  <c r="AZ35" i="31"/>
  <c r="BB35" i="31" s="1"/>
  <c r="B39" i="34" s="1"/>
  <c r="AJ9" i="40"/>
  <c r="AM9" i="40"/>
  <c r="G12" i="34"/>
  <c r="AI9" i="40"/>
  <c r="AL9" i="40" s="1"/>
  <c r="M34" i="41"/>
  <c r="G34" i="41"/>
  <c r="E77" i="43" s="1"/>
  <c r="O34" i="41"/>
  <c r="E81" i="43"/>
  <c r="U34" i="41"/>
  <c r="E83" i="43" s="1"/>
  <c r="S34" i="41"/>
  <c r="K34" i="41"/>
  <c r="E85" i="43"/>
  <c r="E34" i="41"/>
  <c r="E86" i="43" s="1"/>
  <c r="AG34" i="41"/>
  <c r="E90" i="43"/>
  <c r="I34" i="41"/>
  <c r="E91" i="43" s="1"/>
  <c r="F34" i="41"/>
  <c r="T34" i="41"/>
  <c r="D83" i="43"/>
  <c r="R34" i="41"/>
  <c r="J34" i="41"/>
  <c r="D34" i="41"/>
  <c r="D86" i="43" s="1"/>
  <c r="B34" i="41"/>
  <c r="H34" i="41"/>
  <c r="D91" i="43" s="1"/>
  <c r="B36" i="43"/>
  <c r="B59" i="43"/>
  <c r="B72" i="43"/>
  <c r="B93" i="43" s="1"/>
  <c r="B92" i="43"/>
  <c r="C36" i="43"/>
  <c r="C59" i="43"/>
  <c r="C93" i="43" s="1"/>
  <c r="C72" i="43"/>
  <c r="C92" i="43"/>
  <c r="AJ24" i="41"/>
  <c r="K32" i="34"/>
  <c r="AJ29" i="41"/>
  <c r="K37" i="34" s="1"/>
  <c r="AJ30" i="41"/>
  <c r="K38" i="34"/>
  <c r="AJ31" i="41"/>
  <c r="K39" i="34" s="1"/>
  <c r="AJ11" i="41"/>
  <c r="K18" i="34"/>
  <c r="AJ12" i="41"/>
  <c r="K19" i="34" s="1"/>
  <c r="AJ16" i="41"/>
  <c r="K23" i="34"/>
  <c r="AJ6" i="41"/>
  <c r="K10" i="34" s="1"/>
  <c r="AJ8" i="41"/>
  <c r="K12" i="34"/>
  <c r="AK3" i="41"/>
  <c r="L7" i="34" s="1"/>
  <c r="AJ4" i="41"/>
  <c r="K8" i="34"/>
  <c r="AJ5" i="41"/>
  <c r="K9" i="34"/>
  <c r="AJ7" i="41"/>
  <c r="K11" i="34"/>
  <c r="AJ9" i="41"/>
  <c r="K16" i="34"/>
  <c r="AJ10" i="41"/>
  <c r="K17" i="34"/>
  <c r="AJ13" i="41"/>
  <c r="K20" i="34"/>
  <c r="AJ14" i="41"/>
  <c r="AJ15" i="41"/>
  <c r="K22" i="34" s="1"/>
  <c r="O22" i="34" s="1"/>
  <c r="AJ17" i="41"/>
  <c r="K25" i="34"/>
  <c r="AJ18" i="41"/>
  <c r="K26" i="34" s="1"/>
  <c r="AJ19" i="41"/>
  <c r="K27" i="34"/>
  <c r="AJ20" i="41"/>
  <c r="K28" i="34" s="1"/>
  <c r="AJ21" i="41"/>
  <c r="K29" i="34"/>
  <c r="AJ22" i="41"/>
  <c r="K30" i="34" s="1"/>
  <c r="AJ23" i="41"/>
  <c r="K31" i="34"/>
  <c r="AJ25" i="41"/>
  <c r="K33" i="34" s="1"/>
  <c r="AJ26" i="41"/>
  <c r="K34" i="34"/>
  <c r="AJ27" i="41"/>
  <c r="K35" i="34" s="1"/>
  <c r="AJ28" i="41"/>
  <c r="K36" i="34"/>
  <c r="AJ32" i="41"/>
  <c r="K40" i="34" s="1"/>
  <c r="AJ3" i="41"/>
  <c r="K7" i="34"/>
  <c r="AI8" i="40"/>
  <c r="AL8" i="40"/>
  <c r="F11" i="34"/>
  <c r="AJ30" i="40"/>
  <c r="AK27" i="40"/>
  <c r="AN27" i="40"/>
  <c r="H30" i="34"/>
  <c r="AI27" i="40"/>
  <c r="AL27" i="40"/>
  <c r="F30" i="34"/>
  <c r="AI37" i="40"/>
  <c r="AL37" i="40" s="1"/>
  <c r="F40" i="34" s="1"/>
  <c r="AK32" i="40"/>
  <c r="AN32" i="40"/>
  <c r="H35" i="34" s="1"/>
  <c r="C34" i="41"/>
  <c r="E88" i="43" s="1"/>
  <c r="L34" i="41"/>
  <c r="D76" i="43"/>
  <c r="N34" i="41"/>
  <c r="D81" i="43"/>
  <c r="P34" i="41"/>
  <c r="D82" i="43" s="1"/>
  <c r="Q34" i="41"/>
  <c r="V34" i="41"/>
  <c r="W34" i="41"/>
  <c r="E75" i="43"/>
  <c r="X34" i="41"/>
  <c r="D79" i="43" s="1"/>
  <c r="Y34" i="41"/>
  <c r="Z34" i="41"/>
  <c r="D78" i="43"/>
  <c r="AA34" i="41"/>
  <c r="E78" i="43"/>
  <c r="AB34" i="41"/>
  <c r="AC34" i="41"/>
  <c r="E87" i="43" s="1"/>
  <c r="AD34" i="41"/>
  <c r="AE34" i="41"/>
  <c r="E80" i="43"/>
  <c r="AF34" i="41"/>
  <c r="AH34" i="41"/>
  <c r="D89" i="43"/>
  <c r="AI34" i="41"/>
  <c r="E89" i="43" s="1"/>
  <c r="AL4" i="40"/>
  <c r="L39" i="40"/>
  <c r="M39" i="40"/>
  <c r="O39" i="40"/>
  <c r="P39" i="40"/>
  <c r="Q39" i="40"/>
  <c r="R39" i="40"/>
  <c r="S39" i="40"/>
  <c r="U39" i="40"/>
  <c r="V39" i="40"/>
  <c r="W39" i="40"/>
  <c r="X39" i="40"/>
  <c r="Y39" i="40"/>
  <c r="AA39" i="40"/>
  <c r="AB39" i="40"/>
  <c r="AC39" i="40"/>
  <c r="AE39" i="40"/>
  <c r="AF39" i="40"/>
  <c r="AG39" i="40"/>
  <c r="AH39" i="40"/>
  <c r="C39" i="40"/>
  <c r="D39" i="40"/>
  <c r="E39" i="40"/>
  <c r="F39" i="40"/>
  <c r="G39" i="40"/>
  <c r="H39" i="40"/>
  <c r="I39" i="40"/>
  <c r="J39" i="40"/>
  <c r="K39" i="40"/>
  <c r="B39" i="40"/>
  <c r="AI30" i="40"/>
  <c r="AL30" i="40"/>
  <c r="F33" i="34"/>
  <c r="E79" i="43"/>
  <c r="D70" i="43"/>
  <c r="D84" i="43"/>
  <c r="D77" i="43"/>
  <c r="E9" i="43"/>
  <c r="E24" i="43"/>
  <c r="E82" i="43"/>
  <c r="D90" i="43"/>
  <c r="D80" i="43"/>
  <c r="D87" i="43"/>
  <c r="D75" i="43"/>
  <c r="E70" i="43"/>
  <c r="D88" i="43"/>
  <c r="D85" i="43"/>
  <c r="E84" i="43"/>
  <c r="E76" i="43"/>
  <c r="E46" i="43"/>
  <c r="D55" i="43"/>
  <c r="D46" i="43"/>
  <c r="D51" i="43"/>
  <c r="D9" i="43"/>
  <c r="D24" i="43"/>
  <c r="AK39" i="40"/>
  <c r="E17" i="43"/>
  <c r="E10" i="43"/>
  <c r="D34" i="43"/>
  <c r="D28" i="43"/>
  <c r="D10" i="43"/>
  <c r="E8" i="43"/>
  <c r="D38" i="43"/>
  <c r="AN27" i="44"/>
  <c r="AK39" i="44"/>
  <c r="AC39" i="44"/>
  <c r="AL35" i="44"/>
  <c r="AE39" i="44"/>
  <c r="AN15" i="44"/>
  <c r="AN17" i="44"/>
  <c r="AD39" i="44"/>
  <c r="AR38" i="32"/>
  <c r="D58" i="43" s="1"/>
  <c r="AJ39" i="44"/>
  <c r="AJ34" i="41"/>
  <c r="BC14" i="31"/>
  <c r="C18" i="34"/>
  <c r="AL15" i="40"/>
  <c r="F18" i="34"/>
  <c r="AL35" i="40"/>
  <c r="F38" i="34" s="1"/>
  <c r="F7" i="34"/>
  <c r="AM17" i="40"/>
  <c r="G20" i="34"/>
  <c r="P20" i="34" s="1"/>
  <c r="AD39" i="40"/>
  <c r="U39" i="44"/>
  <c r="AM17" i="44"/>
  <c r="N7" i="34"/>
  <c r="N42" i="34" s="1"/>
  <c r="AT31" i="32"/>
  <c r="D35" i="34"/>
  <c r="E18" i="34"/>
  <c r="AN17" i="40"/>
  <c r="H20" i="34"/>
  <c r="BC25" i="31"/>
  <c r="C29" i="34"/>
  <c r="BB26" i="31"/>
  <c r="B30" i="34" s="1"/>
  <c r="D18" i="43"/>
  <c r="AM30" i="40"/>
  <c r="AJ39" i="40"/>
  <c r="I42" i="34"/>
  <c r="D61" i="43"/>
  <c r="BA38" i="31"/>
  <c r="E35" i="43" s="1"/>
  <c r="BC16" i="31"/>
  <c r="C20" i="34"/>
  <c r="BB15" i="31"/>
  <c r="B19" i="34" s="1"/>
  <c r="O19" i="34" s="1"/>
  <c r="G33" i="34"/>
  <c r="D7" i="34"/>
  <c r="O7" i="34" s="1"/>
  <c r="AE38" i="32"/>
  <c r="E51" i="43"/>
  <c r="P15" i="34"/>
  <c r="P13" i="34"/>
  <c r="E72" i="43"/>
  <c r="P36" i="34"/>
  <c r="N9" i="34"/>
  <c r="P9" i="34" s="1"/>
  <c r="O31" i="34"/>
  <c r="O21" i="34"/>
  <c r="P32" i="34" l="1"/>
  <c r="O30" i="34"/>
  <c r="E59" i="43"/>
  <c r="O33" i="34"/>
  <c r="E92" i="43"/>
  <c r="F42" i="34"/>
  <c r="K42" i="34"/>
  <c r="F12" i="34"/>
  <c r="AL39" i="40"/>
  <c r="D65" i="43" s="1"/>
  <c r="O39" i="34"/>
  <c r="AT38" i="32"/>
  <c r="D42" i="34"/>
  <c r="O28" i="34"/>
  <c r="O40" i="34"/>
  <c r="O10" i="34"/>
  <c r="O42" i="34" s="1"/>
  <c r="P37" i="34"/>
  <c r="P26" i="34"/>
  <c r="O11" i="34"/>
  <c r="B42" i="34"/>
  <c r="E7" i="34"/>
  <c r="E42" i="34" s="1"/>
  <c r="AU38" i="32"/>
  <c r="O38" i="34"/>
  <c r="D92" i="43"/>
  <c r="L42" i="34"/>
  <c r="G42" i="34"/>
  <c r="O16" i="34"/>
  <c r="O12" i="34"/>
  <c r="P30" i="34"/>
  <c r="P10" i="34"/>
  <c r="O37" i="34"/>
  <c r="O35" i="34"/>
  <c r="O26" i="34"/>
  <c r="P40" i="34"/>
  <c r="H42" i="34"/>
  <c r="P28" i="34"/>
  <c r="AG3" i="31"/>
  <c r="D59" i="43"/>
  <c r="AI39" i="40"/>
  <c r="J38" i="29"/>
  <c r="BB38" i="31"/>
  <c r="AM39" i="40"/>
  <c r="E65" i="43" s="1"/>
  <c r="AN39" i="40"/>
  <c r="E64" i="43" s="1"/>
  <c r="AZ38" i="31"/>
  <c r="D35" i="43" s="1"/>
  <c r="D36" i="43" s="1"/>
  <c r="D93" i="43" s="1"/>
  <c r="BC21" i="31"/>
  <c r="C25" i="34" s="1"/>
  <c r="P25" i="34" s="1"/>
  <c r="O13" i="34"/>
  <c r="K38" i="29"/>
  <c r="D72" i="43"/>
  <c r="E18" i="43"/>
  <c r="E36" i="43" s="1"/>
  <c r="E93" i="43" s="1"/>
  <c r="AF38" i="31"/>
  <c r="J38" i="30"/>
  <c r="AL17" i="44"/>
  <c r="AL39" i="44" s="1"/>
  <c r="AK34" i="41"/>
  <c r="AS38" i="32"/>
  <c r="E58" i="43" s="1"/>
  <c r="AG38" i="31" l="1"/>
  <c r="BC3" i="31"/>
  <c r="BC38" i="31" l="1"/>
  <c r="C7" i="34"/>
  <c r="C42" i="34" l="1"/>
  <c r="P7" i="34"/>
  <c r="P42" i="34" s="1"/>
</calcChain>
</file>

<file path=xl/comments1.xml><?xml version="1.0" encoding="utf-8"?>
<comments xmlns="http://schemas.openxmlformats.org/spreadsheetml/2006/main">
  <authors>
    <author xml:space="preserve">HORTICULTURE </author>
  </authors>
  <commentList>
    <comment ref="Q14" authorId="0">
      <text>
        <r>
          <rPr>
            <b/>
            <sz val="8"/>
            <color indexed="81"/>
            <rFont val="Tahoma"/>
            <family val="2"/>
          </rPr>
          <t>HORTICULTURE :</t>
        </r>
        <r>
          <rPr>
            <sz val="8"/>
            <color indexed="81"/>
            <rFont val="Tahoma"/>
            <family val="2"/>
          </rPr>
          <t xml:space="preserve">
Rev. Fig.recd.vide Letter No. 10171/SA Dated 26/08/2013</t>
        </r>
      </text>
    </comment>
  </commentList>
</comments>
</file>

<file path=xl/sharedStrings.xml><?xml version="1.0" encoding="utf-8"?>
<sst xmlns="http://schemas.openxmlformats.org/spreadsheetml/2006/main" count="824" uniqueCount="243">
  <si>
    <t>APPLE</t>
  </si>
  <si>
    <t>BANANA</t>
  </si>
  <si>
    <t>GUAVA</t>
  </si>
  <si>
    <t>LITCHI</t>
  </si>
  <si>
    <t>MANGO</t>
  </si>
  <si>
    <t>PAPAYA</t>
  </si>
  <si>
    <t>PINEAPPLE</t>
  </si>
  <si>
    <t>SAPOTA</t>
  </si>
  <si>
    <t>OTHERS</t>
  </si>
  <si>
    <t>TOTAL</t>
  </si>
  <si>
    <t>P</t>
  </si>
  <si>
    <t>ANDAMAN NICOBAR</t>
  </si>
  <si>
    <t>ANDHRA PRADESH</t>
  </si>
  <si>
    <t>ARUNACHAL PRADESH</t>
  </si>
  <si>
    <t>ASSAM</t>
  </si>
  <si>
    <t>BIHAR</t>
  </si>
  <si>
    <t>D &amp; N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</si>
  <si>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</si>
  <si>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</si>
  <si>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</si>
  <si>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</si>
  <si>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</si>
  <si>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</si>
  <si>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</si>
  <si>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</si>
  <si>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</si>
  <si>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</si>
  <si>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</si>
  <si>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</si>
  <si>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</si>
  <si>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</si>
  <si>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</si>
  <si>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</si>
  <si>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</si>
  <si>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</si>
  <si>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</si>
  <si>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</si>
  <si>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</si>
  <si>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</si>
  <si>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 xml:space="preserve"> </t>
  </si>
  <si>
    <t>WEST BENGAL</t>
  </si>
  <si>
    <t>BRINJAL</t>
  </si>
  <si>
    <t>CABBAGE</t>
  </si>
  <si>
    <t>OKRA</t>
  </si>
  <si>
    <t>PEAS</t>
  </si>
  <si>
    <t>TOMATO</t>
  </si>
  <si>
    <t>ONION</t>
  </si>
  <si>
    <t>POTATO</t>
  </si>
  <si>
    <t>TAPIOCA</t>
  </si>
  <si>
    <t>A</t>
  </si>
  <si>
    <t>STATE/UT'S</t>
  </si>
  <si>
    <t>Cashewnut</t>
  </si>
  <si>
    <t>Arecanut</t>
  </si>
  <si>
    <t>Cocoa</t>
  </si>
  <si>
    <t>Coconut</t>
  </si>
  <si>
    <t>Total</t>
  </si>
  <si>
    <t>ANDAMAN &amp; NICOBAR</t>
  </si>
  <si>
    <t>CHHATTISGARH</t>
  </si>
  <si>
    <t>LAKSHADWEEP</t>
  </si>
  <si>
    <t>TAMILNADU</t>
  </si>
  <si>
    <t>FRUITS</t>
  </si>
  <si>
    <t>VEG.</t>
  </si>
  <si>
    <t>FLOWERS</t>
  </si>
  <si>
    <t xml:space="preserve">AROMATIC </t>
  </si>
  <si>
    <t>SPICES</t>
  </si>
  <si>
    <t>LOOSE</t>
  </si>
  <si>
    <t>CUT</t>
  </si>
  <si>
    <t>Crops</t>
  </si>
  <si>
    <t>Production</t>
  </si>
  <si>
    <t>Fruits</t>
  </si>
  <si>
    <t>Mango</t>
  </si>
  <si>
    <t>Apple</t>
  </si>
  <si>
    <t>Banana</t>
  </si>
  <si>
    <t>Guava</t>
  </si>
  <si>
    <t>Grapes</t>
  </si>
  <si>
    <t>Papaya</t>
  </si>
  <si>
    <t>Pineapple</t>
  </si>
  <si>
    <t>Pomegranate</t>
  </si>
  <si>
    <t>Sapota</t>
  </si>
  <si>
    <t>Others</t>
  </si>
  <si>
    <t>Vegetables</t>
  </si>
  <si>
    <t>Potato</t>
  </si>
  <si>
    <t>Onion</t>
  </si>
  <si>
    <t>Tomato</t>
  </si>
  <si>
    <t>Brinjal</t>
  </si>
  <si>
    <t>Cabbage</t>
  </si>
  <si>
    <t>Cauliflower</t>
  </si>
  <si>
    <t>Okra</t>
  </si>
  <si>
    <t>Peas</t>
  </si>
  <si>
    <t>Tapioca</t>
  </si>
  <si>
    <t>Sweet Potato</t>
  </si>
  <si>
    <t>Aromatic</t>
  </si>
  <si>
    <t>Flowers Loose</t>
  </si>
  <si>
    <t>Flowers Cut*</t>
  </si>
  <si>
    <t>Plantation Crops</t>
  </si>
  <si>
    <t>Spices</t>
  </si>
  <si>
    <t xml:space="preserve">Area </t>
  </si>
  <si>
    <t xml:space="preserve">STATES/Uts </t>
  </si>
  <si>
    <t>UTTARAKHAND</t>
  </si>
  <si>
    <t>ALMOND</t>
  </si>
  <si>
    <t>BAEL</t>
  </si>
  <si>
    <t>BER</t>
  </si>
  <si>
    <t>CUSTARD APPLE</t>
  </si>
  <si>
    <t>GRAPES</t>
  </si>
  <si>
    <t>JACK FRUIT</t>
  </si>
  <si>
    <t>KIWI</t>
  </si>
  <si>
    <t>PASSION FRUIT</t>
  </si>
  <si>
    <t>TOTAL CITRUS</t>
  </si>
  <si>
    <t>PEACH</t>
  </si>
  <si>
    <t>PEAR</t>
  </si>
  <si>
    <t>PICANUT</t>
  </si>
  <si>
    <t>PLUM</t>
  </si>
  <si>
    <t>POMEGRANATE</t>
  </si>
  <si>
    <t>STRAWBERRY</t>
  </si>
  <si>
    <t>WALNUT</t>
  </si>
  <si>
    <t>OTHER FRUITS</t>
  </si>
  <si>
    <t>TOTAL FRUITS</t>
  </si>
  <si>
    <t>LIME/LEMON</t>
  </si>
  <si>
    <t>OTHER CITRUS</t>
  </si>
  <si>
    <t>ARUNCHAL PRADESH</t>
  </si>
  <si>
    <t>BEANS</t>
  </si>
  <si>
    <t>CAPSICUM</t>
  </si>
  <si>
    <t>CARROT</t>
  </si>
  <si>
    <t>CAULIFLOWER</t>
  </si>
  <si>
    <t>CUCUMBER</t>
  </si>
  <si>
    <t>MUSKMELON</t>
  </si>
  <si>
    <t>RADISH</t>
  </si>
  <si>
    <t>SITAPHAL/PUMPKIN</t>
  </si>
  <si>
    <t>SWEET POTATO</t>
  </si>
  <si>
    <t>WATERMELON</t>
  </si>
  <si>
    <t>ARECANUT</t>
  </si>
  <si>
    <t>CASHEWNUT</t>
  </si>
  <si>
    <t>COCOA</t>
  </si>
  <si>
    <t>COCONUT</t>
  </si>
  <si>
    <t>Pepper</t>
  </si>
  <si>
    <t>Ginger</t>
  </si>
  <si>
    <t>Turmeric</t>
  </si>
  <si>
    <t>Garlic</t>
  </si>
  <si>
    <t>Cardamom</t>
  </si>
  <si>
    <t>Coriander</t>
  </si>
  <si>
    <t>Cumin</t>
  </si>
  <si>
    <t>Fennel</t>
  </si>
  <si>
    <t>Ajwan</t>
  </si>
  <si>
    <t>Nutmeg</t>
  </si>
  <si>
    <t>Clove</t>
  </si>
  <si>
    <t>Tamarind</t>
  </si>
  <si>
    <t>Aonla</t>
  </si>
  <si>
    <t>Ber</t>
  </si>
  <si>
    <t xml:space="preserve">Citrus </t>
  </si>
  <si>
    <t>(i)   Lime/Lemon</t>
  </si>
  <si>
    <t>(iv) Others</t>
  </si>
  <si>
    <t>Citrus Total (i to iv)</t>
  </si>
  <si>
    <t>Kiwi</t>
  </si>
  <si>
    <t>Litchi</t>
  </si>
  <si>
    <t>Peach</t>
  </si>
  <si>
    <t>Pear</t>
  </si>
  <si>
    <t>Plum</t>
  </si>
  <si>
    <t>Walnut</t>
  </si>
  <si>
    <t>Almond</t>
  </si>
  <si>
    <t>Total Fruits</t>
  </si>
  <si>
    <t>Beans</t>
  </si>
  <si>
    <t>Capsicum</t>
  </si>
  <si>
    <t>Carrot</t>
  </si>
  <si>
    <t>Cucumber</t>
  </si>
  <si>
    <t>Muskmelon</t>
  </si>
  <si>
    <t>Radish</t>
  </si>
  <si>
    <t>Sitaphal/Pumpkin</t>
  </si>
  <si>
    <t>Watermelon</t>
  </si>
  <si>
    <t>Chillies (Dried)</t>
  </si>
  <si>
    <t>Cinnamon/Tejpata</t>
  </si>
  <si>
    <t>F.Greek</t>
  </si>
  <si>
    <t>Vanilla</t>
  </si>
  <si>
    <t>Spice Total</t>
  </si>
  <si>
    <t>PLANTATION</t>
  </si>
  <si>
    <t xml:space="preserve">KARNATAKA </t>
  </si>
  <si>
    <t>(ii) Mandarin</t>
  </si>
  <si>
    <t>Jackfruit</t>
  </si>
  <si>
    <t>Custardapple</t>
  </si>
  <si>
    <t>Celery,Dill &amp; Poppy</t>
  </si>
  <si>
    <t>P(Cut)= Production in (lakh Nos)</t>
  </si>
  <si>
    <t>Figure of Production under Grand Total does not include Production of Cut-Flowers</t>
  </si>
  <si>
    <t>PUDUCHERRY</t>
  </si>
  <si>
    <t>ANTHURIUM</t>
  </si>
  <si>
    <t>CARNATION</t>
  </si>
  <si>
    <t>CHRYSANTHEMUM</t>
  </si>
  <si>
    <t>GERBERA</t>
  </si>
  <si>
    <t>GLADIOUS</t>
  </si>
  <si>
    <t>JASMINE</t>
  </si>
  <si>
    <t>MARIGOLD</t>
  </si>
  <si>
    <t>ORCHIDS</t>
  </si>
  <si>
    <t>ROSE</t>
  </si>
  <si>
    <t>TUBE ROSE</t>
  </si>
  <si>
    <t>TULIP</t>
  </si>
  <si>
    <t>TOTAL  FLOWERS</t>
  </si>
  <si>
    <t xml:space="preserve">LOOSE </t>
  </si>
  <si>
    <t>Spices : Directorate of  Arecanut &amp; Spices Development</t>
  </si>
  <si>
    <t>MANDARIN(M. ORANGE ,KINNOW,ORANGE)</t>
  </si>
  <si>
    <t>SWEET ORANGE(MALTA , MOSAMBI)</t>
  </si>
  <si>
    <t>Fruits, Vegetables, Flowers, Aromatic/Medicinal Plants  - State Directorates of Horticulture</t>
  </si>
  <si>
    <t>AONLA</t>
  </si>
  <si>
    <t>* Cut flowers in Lakh Nos.</t>
  </si>
  <si>
    <t>Chillies</t>
  </si>
  <si>
    <t>F. Greek</t>
  </si>
  <si>
    <t xml:space="preserve">Dill / Poppy /Celery </t>
  </si>
  <si>
    <t>Cinnamon /Tejpat</t>
  </si>
  <si>
    <t>Saffron / Vanilla</t>
  </si>
  <si>
    <t>Plantation Crops:- Coconut (CDB), Arecanut (Directorate Arecanut &amp; Spice Dev), Cashew &amp; Cocoa (Directorate of Cashew  &amp; Cocoa Development) and State Directorate of Horticulture.</t>
  </si>
  <si>
    <t>BITTERGOURD</t>
  </si>
  <si>
    <t>BOTTLEGOURD</t>
  </si>
  <si>
    <t>ODISHA</t>
  </si>
  <si>
    <t>Area and Production of Horticulture Crops - All India</t>
  </si>
  <si>
    <t>Passion Fruit</t>
  </si>
  <si>
    <t>PARWAL</t>
  </si>
  <si>
    <t xml:space="preserve">Production in '000 MT </t>
  </si>
  <si>
    <t xml:space="preserve">Area in '000 Ha </t>
  </si>
  <si>
    <t>2011-12</t>
  </si>
  <si>
    <t>Final</t>
  </si>
  <si>
    <t xml:space="preserve">Source: </t>
  </si>
  <si>
    <t>Coconut : State Directorate of Horticulture.</t>
  </si>
  <si>
    <t>Arecanut : Directorate of Arecanut &amp; Spices Development (DASD)</t>
  </si>
  <si>
    <t>Cocoa : Directorate of Cashewnut &amp; Cocoa Development (DCCD)</t>
  </si>
  <si>
    <t>Cashewnt : Directorate of Cashewnut &amp; Cocoa Development (DCCD) for all States except A&amp;N, Gujrat and Mizoram.</t>
  </si>
  <si>
    <t>(iii) Sweet Orange (Mosambi)</t>
  </si>
  <si>
    <t>CHHATISGARH</t>
  </si>
  <si>
    <t>Bittergourd</t>
  </si>
  <si>
    <t>Bottlegourd</t>
  </si>
  <si>
    <t xml:space="preserve">CHHATTISGARH </t>
  </si>
  <si>
    <t xml:space="preserve">Final </t>
  </si>
  <si>
    <t>TAMIL NADU *</t>
  </si>
  <si>
    <t xml:space="preserve">* Tamil Nadu has not provided figures for coconut. Therefore, figures recieved during 2012-13(2nd est.) repeated. </t>
  </si>
  <si>
    <t>RAJASTHAN *</t>
  </si>
  <si>
    <t># Previous data repeated for J&amp;K due to non availability of Vegetable Figures from the State.</t>
  </si>
  <si>
    <t>JAMMU &amp; KASHMIR #</t>
  </si>
  <si>
    <t>ARUNACHAL PRADESH *</t>
  </si>
  <si>
    <t>* Data recieved during 2012-13(3rd est.) repeated due to non availability of flowers breakup.</t>
  </si>
  <si>
    <t xml:space="preserve">KERALA </t>
  </si>
  <si>
    <t>2012-13</t>
  </si>
  <si>
    <t>Area and Production of Horticulture Crops 2012-13</t>
  </si>
  <si>
    <t>Area in '000 Ha</t>
  </si>
  <si>
    <t>Production in '000 MT</t>
  </si>
  <si>
    <t>Note : Area in '000 Ha</t>
  </si>
  <si>
    <r>
      <rPr>
        <b/>
        <sz val="11"/>
        <rFont val="Times New Roman"/>
        <family val="1"/>
      </rPr>
      <t xml:space="preserve">Note </t>
    </r>
    <r>
      <rPr>
        <b/>
        <sz val="10"/>
        <rFont val="Times New Roman"/>
        <family val="1"/>
      </rPr>
      <t>: Area in '000 Ha</t>
    </r>
  </si>
  <si>
    <r>
      <rPr>
        <b/>
        <sz val="11"/>
        <rFont val="Times New Roman"/>
        <family val="1"/>
      </rPr>
      <t>Note</t>
    </r>
    <r>
      <rPr>
        <b/>
        <sz val="10"/>
        <rFont val="Times New Roman"/>
        <family val="1"/>
      </rPr>
      <t xml:space="preserve"> : Area in '000 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</si>
</sst>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0">
    <xf numFmtId="0" fontId="0" fillId="0" borderId="0" xfId="0"/>
    <xf numFmtId="1" fontId="19" fillId="24" borderId="10" xfId="52" applyNumberFormat="1" applyFont="1" applyFill="1" applyBorder="1" applyAlignment="1">
      <alignment horizontal="center" vertical="center"/>
    </xf>
    <xf numFmtId="0" fontId="0" fillId="0" borderId="10" xfId="0" applyBorder="1"/>
    <xf numFmtId="1" fontId="0" fillId="0" borderId="10" xfId="0" applyNumberFormat="1" applyBorder="1"/>
    <xf numFmtId="1" fontId="19" fillId="0" borderId="10" xfId="0" applyNumberFormat="1" applyFont="1" applyBorder="1"/>
    <xf numFmtId="1" fontId="19" fillId="0" borderId="0" xfId="0" applyNumberFormat="1" applyFont="1" applyBorder="1"/>
    <xf numFmtId="1" fontId="25" fillId="24" borderId="0" xfId="51" applyNumberFormat="1" applyFont="1" applyFill="1" applyBorder="1" applyAlignment="1"/>
    <xf numFmtId="0" fontId="32" fillId="0" borderId="0" xfId="0" applyFont="1"/>
    <xf numFmtId="1" fontId="19" fillId="0" borderId="11" xfId="0" applyNumberFormat="1" applyFont="1" applyBorder="1"/>
    <xf numFmtId="1" fontId="27" fillId="24" borderId="12" xfId="52" applyNumberFormat="1" applyFont="1" applyFill="1" applyBorder="1" applyAlignment="1">
      <alignment vertical="center"/>
    </xf>
    <xf numFmtId="1" fontId="14" fillId="24" borderId="12" xfId="52" applyNumberFormat="1" applyFont="1" applyFill="1" applyBorder="1" applyAlignment="1">
      <alignment vertical="center"/>
    </xf>
    <xf numFmtId="1" fontId="14" fillId="0" borderId="12" xfId="0" applyNumberFormat="1" applyFont="1" applyBorder="1"/>
    <xf numFmtId="1" fontId="38" fillId="24" borderId="12" xfId="52" applyNumberFormat="1" applyFont="1" applyFill="1" applyBorder="1" applyAlignment="1">
      <alignment vertical="center"/>
    </xf>
    <xf numFmtId="1" fontId="38" fillId="24" borderId="12" xfId="52" applyNumberFormat="1" applyFont="1" applyFill="1" applyBorder="1" applyAlignment="1">
      <alignment vertical="center" wrapText="1"/>
    </xf>
    <xf numFmtId="1" fontId="19" fillId="24" borderId="12" xfId="52" applyNumberFormat="1" applyFont="1" applyFill="1" applyBorder="1" applyAlignment="1">
      <alignment vertical="center"/>
    </xf>
    <xf numFmtId="1" fontId="14" fillId="24" borderId="12" xfId="52" applyNumberFormat="1" applyFont="1" applyFill="1" applyBorder="1" applyAlignment="1">
      <alignment horizontal="right" vertical="center" indent="1"/>
    </xf>
    <xf numFmtId="1" fontId="27" fillId="24" borderId="12" xfId="52" applyNumberFormat="1" applyFont="1" applyFill="1" applyBorder="1" applyAlignment="1">
      <alignment horizontal="left" vertical="center"/>
    </xf>
    <xf numFmtId="1" fontId="39" fillId="24" borderId="12" xfId="52" applyNumberFormat="1" applyFont="1" applyFill="1" applyBorder="1" applyAlignment="1">
      <alignment horizontal="left" vertical="center"/>
    </xf>
    <xf numFmtId="1" fontId="39" fillId="24" borderId="12" xfId="52" applyNumberFormat="1" applyFont="1" applyFill="1" applyBorder="1" applyAlignment="1">
      <alignment vertical="center"/>
    </xf>
    <xf numFmtId="1" fontId="19" fillId="24" borderId="12" xfId="37" applyNumberFormat="1" applyFont="1" applyFill="1" applyBorder="1" applyAlignment="1"/>
    <xf numFmtId="1" fontId="19" fillId="24" borderId="12" xfId="37" applyNumberFormat="1" applyFont="1" applyFill="1" applyBorder="1" applyAlignment="1">
      <alignment horizontal="left"/>
    </xf>
    <xf numFmtId="1" fontId="14" fillId="24" borderId="12" xfId="52" applyNumberFormat="1" applyFont="1" applyFill="1" applyBorder="1" applyAlignment="1">
      <alignment horizontal="left" vertical="center"/>
    </xf>
    <xf numFmtId="1" fontId="19" fillId="24" borderId="12" xfId="52" applyNumberFormat="1" applyFont="1" applyFill="1" applyBorder="1" applyAlignment="1">
      <alignment horizontal="left" vertical="center"/>
    </xf>
    <xf numFmtId="1" fontId="19" fillId="24" borderId="13" xfId="52" applyNumberFormat="1" applyFont="1" applyFill="1" applyBorder="1" applyAlignment="1">
      <alignment horizontal="left" vertical="center"/>
    </xf>
    <xf numFmtId="2" fontId="25" fillId="25" borderId="10" xfId="0" applyNumberFormat="1" applyFont="1" applyFill="1" applyBorder="1" applyAlignment="1">
      <alignment horizontal="center"/>
    </xf>
    <xf numFmtId="2" fontId="0" fillId="25" borderId="0" xfId="0" applyNumberFormat="1" applyFill="1"/>
    <xf numFmtId="2" fontId="25" fillId="25" borderId="10" xfId="37" applyNumberFormat="1" applyFont="1" applyFill="1" applyBorder="1" applyAlignment="1">
      <alignment horizontal="center"/>
    </xf>
    <xf numFmtId="2" fontId="25" fillId="25" borderId="10" xfId="37" applyNumberFormat="1" applyFont="1" applyFill="1" applyBorder="1"/>
    <xf numFmtId="2" fontId="0" fillId="25" borderId="10" xfId="0" applyNumberFormat="1" applyFill="1" applyBorder="1"/>
    <xf numFmtId="2" fontId="34" fillId="25" borderId="10" xfId="0" applyNumberFormat="1" applyFont="1" applyFill="1" applyBorder="1" applyAlignment="1">
      <alignment horizontal="right"/>
    </xf>
    <xf numFmtId="2" fontId="25" fillId="25" borderId="10" xfId="48" applyNumberFormat="1" applyFont="1" applyFill="1" applyBorder="1"/>
    <xf numFmtId="2" fontId="25" fillId="25" borderId="10" xfId="55" applyNumberFormat="1" applyFont="1" applyFill="1" applyBorder="1"/>
    <xf numFmtId="2" fontId="32" fillId="25" borderId="10" xfId="0" applyNumberFormat="1" applyFont="1" applyFill="1" applyBorder="1"/>
    <xf numFmtId="172" fontId="28" fillId="25" borderId="0" xfId="0" applyNumberFormat="1" applyFont="1" applyFill="1"/>
    <xf numFmtId="172" fontId="20" fillId="25" borderId="10" xfId="51" applyNumberFormat="1" applyFont="1" applyFill="1" applyBorder="1" applyAlignment="1">
      <alignment vertical="top" wrapText="1"/>
    </xf>
    <xf numFmtId="172" fontId="20" fillId="25" borderId="10" xfId="51" applyNumberFormat="1" applyFont="1" applyFill="1" applyBorder="1" applyAlignment="1">
      <alignment horizontal="center" vertical="top" wrapText="1"/>
    </xf>
    <xf numFmtId="172" fontId="20" fillId="25" borderId="14" xfId="51" applyNumberFormat="1" applyFont="1" applyFill="1" applyBorder="1" applyAlignment="1">
      <alignment horizontal="center" vertical="top" wrapText="1"/>
    </xf>
    <xf numFmtId="172" fontId="21" fillId="25" borderId="15" xfId="51" applyNumberFormat="1" applyFont="1" applyFill="1" applyBorder="1" applyAlignment="1">
      <alignment horizontal="center" vertical="top" wrapText="1"/>
    </xf>
    <xf numFmtId="172" fontId="21" fillId="25" borderId="16" xfId="51" applyNumberFormat="1" applyFont="1" applyFill="1" applyBorder="1" applyAlignment="1">
      <alignment horizontal="center" vertical="top" wrapText="1"/>
    </xf>
    <xf numFmtId="172" fontId="20" fillId="25" borderId="16" xfId="51" applyNumberFormat="1" applyFont="1" applyFill="1" applyBorder="1" applyAlignment="1">
      <alignment horizontal="center" vertical="top" wrapText="1"/>
    </xf>
    <xf numFmtId="172" fontId="20" fillId="25" borderId="15" xfId="51" applyNumberFormat="1" applyFont="1" applyFill="1" applyBorder="1" applyAlignment="1">
      <alignment vertical="top"/>
    </xf>
    <xf numFmtId="172" fontId="20" fillId="25" borderId="16" xfId="51" applyNumberFormat="1" applyFont="1" applyFill="1" applyBorder="1" applyAlignment="1">
      <alignment vertical="top"/>
    </xf>
    <xf numFmtId="172" fontId="20" fillId="25" borderId="10" xfId="51" applyNumberFormat="1" applyFont="1" applyFill="1" applyBorder="1"/>
    <xf numFmtId="2" fontId="28" fillId="25" borderId="10" xfId="0" applyNumberFormat="1" applyFont="1" applyFill="1" applyBorder="1"/>
    <xf numFmtId="2" fontId="19" fillId="25" borderId="10" xfId="0" applyNumberFormat="1" applyFont="1" applyFill="1" applyBorder="1"/>
    <xf numFmtId="172" fontId="22" fillId="25" borderId="0" xfId="51" applyNumberFormat="1" applyFont="1" applyFill="1" applyBorder="1" applyAlignment="1">
      <alignment vertical="top"/>
    </xf>
    <xf numFmtId="172" fontId="29" fillId="25" borderId="0" xfId="51" applyNumberFormat="1" applyFont="1" applyFill="1" applyBorder="1" applyAlignment="1"/>
    <xf numFmtId="172" fontId="29" fillId="25" borderId="0" xfId="51" applyNumberFormat="1" applyFont="1" applyFill="1" applyBorder="1" applyAlignment="1">
      <alignment horizontal="center"/>
    </xf>
    <xf numFmtId="172" fontId="29" fillId="25" borderId="0" xfId="51" applyNumberFormat="1" applyFont="1" applyFill="1" applyBorder="1"/>
    <xf numFmtId="172" fontId="29" fillId="25" borderId="0" xfId="51" applyNumberFormat="1" applyFont="1" applyFill="1" applyBorder="1" applyAlignment="1">
      <alignment vertical="top" wrapText="1"/>
    </xf>
    <xf numFmtId="172" fontId="31" fillId="25" borderId="0" xfId="0" applyNumberFormat="1" applyFont="1" applyFill="1"/>
    <xf numFmtId="172" fontId="22" fillId="25" borderId="0" xfId="51" applyNumberFormat="1" applyFont="1" applyFill="1" applyBorder="1" applyAlignment="1"/>
    <xf numFmtId="172" fontId="22" fillId="25" borderId="0" xfId="51" applyNumberFormat="1" applyFont="1" applyFill="1" applyBorder="1" applyAlignment="1">
      <alignment horizontal="left" vertical="center"/>
    </xf>
    <xf numFmtId="172" fontId="30" fillId="25" borderId="0" xfId="0" applyNumberFormat="1" applyFont="1" applyFill="1"/>
    <xf numFmtId="2" fontId="33" fillId="25" borderId="10" xfId="0" applyNumberFormat="1" applyFont="1" applyFill="1" applyBorder="1" applyAlignment="1">
      <alignment horizontal="center"/>
    </xf>
    <xf numFmtId="2" fontId="25" fillId="25" borderId="10" xfId="0" applyNumberFormat="1" applyFont="1" applyFill="1" applyBorder="1" applyAlignment="1">
      <alignment horizontal="center"/>
    </xf>
    <xf numFmtId="2" fontId="26" fillId="25" borderId="0" xfId="0" applyNumberFormat="1" applyFont="1" applyFill="1"/>
    <xf numFmtId="2" fontId="26" fillId="25" borderId="10" xfId="0" applyNumberFormat="1" applyFont="1" applyFill="1" applyBorder="1"/>
    <xf numFmtId="2" fontId="25" fillId="25" borderId="10" xfId="0" applyNumberFormat="1" applyFont="1" applyFill="1" applyBorder="1"/>
    <xf numFmtId="2" fontId="26" fillId="25" borderId="10" xfId="0" applyNumberFormat="1" applyFont="1" applyFill="1" applyBorder="1" applyAlignment="1">
      <alignment horizontal="right"/>
    </xf>
    <xf numFmtId="2" fontId="25" fillId="25" borderId="0" xfId="0" applyNumberFormat="1" applyFont="1" applyFill="1"/>
    <xf numFmtId="2" fontId="25" fillId="25" borderId="16" xfId="0" applyNumberFormat="1" applyFont="1" applyFill="1" applyBorder="1" applyAlignment="1">
      <alignment horizontal="center"/>
    </xf>
    <xf numFmtId="2" fontId="19" fillId="25" borderId="10" xfId="37" applyNumberFormat="1" applyFont="1" applyFill="1" applyBorder="1"/>
    <xf numFmtId="2" fontId="19" fillId="25" borderId="10" xfId="48" applyNumberFormat="1" applyFont="1" applyFill="1" applyBorder="1"/>
    <xf numFmtId="2" fontId="19" fillId="25" borderId="10" xfId="55" applyNumberFormat="1" applyFont="1" applyFill="1" applyBorder="1"/>
    <xf numFmtId="2" fontId="14" fillId="25" borderId="10" xfId="0" applyNumberFormat="1" applyFont="1" applyFill="1" applyBorder="1"/>
    <xf numFmtId="2" fontId="14" fillId="25" borderId="10" xfId="0" applyNumberFormat="1" applyFont="1" applyFill="1" applyBorder="1" applyAlignment="1">
      <alignment horizontal="right"/>
    </xf>
    <xf numFmtId="2" fontId="28" fillId="25" borderId="0" xfId="0" applyNumberFormat="1" applyFont="1" applyFill="1"/>
    <xf numFmtId="2" fontId="32" fillId="25" borderId="0" xfId="0" applyNumberFormat="1" applyFont="1" applyFill="1"/>
    <xf numFmtId="2" fontId="40" fillId="25" borderId="10" xfId="0" applyNumberFormat="1" applyFont="1" applyFill="1" applyBorder="1"/>
    <xf numFmtId="2" fontId="41" fillId="25" borderId="10" xfId="0" applyNumberFormat="1" applyFont="1" applyFill="1" applyBorder="1"/>
    <xf numFmtId="2" fontId="27" fillId="25" borderId="0" xfId="0" applyNumberFormat="1" applyFont="1" applyFill="1"/>
    <xf numFmtId="2" fontId="19" fillId="25" borderId="0" xfId="0" applyNumberFormat="1" applyFont="1" applyFill="1"/>
    <xf numFmtId="2" fontId="19" fillId="25" borderId="0" xfId="0" applyNumberFormat="1" applyFont="1" applyFill="1" applyAlignment="1">
      <alignment horizontal="left"/>
    </xf>
    <xf numFmtId="2" fontId="19" fillId="25" borderId="0" xfId="0" applyNumberFormat="1" applyFont="1" applyFill="1" applyAlignment="1"/>
    <xf numFmtId="2" fontId="28" fillId="25" borderId="0" xfId="0" applyNumberFormat="1" applyFont="1" applyFill="1" applyAlignment="1">
      <alignment horizontal="left"/>
    </xf>
    <xf numFmtId="2" fontId="25" fillId="25" borderId="17" xfId="37" applyNumberFormat="1" applyFont="1" applyFill="1" applyBorder="1"/>
    <xf numFmtId="2" fontId="25" fillId="25" borderId="17" xfId="48" applyNumberFormat="1" applyFont="1" applyFill="1" applyBorder="1"/>
    <xf numFmtId="2" fontId="25" fillId="25" borderId="17" xfId="55" applyNumberFormat="1" applyFont="1" applyFill="1" applyBorder="1"/>
    <xf numFmtId="2" fontId="14" fillId="25" borderId="0" xfId="0" applyNumberFormat="1" applyFont="1" applyFill="1" applyAlignment="1">
      <alignment horizontal="left"/>
    </xf>
    <xf numFmtId="2" fontId="25" fillId="25" borderId="10" xfId="0" applyNumberFormat="1" applyFont="1" applyFill="1" applyBorder="1" applyAlignment="1">
      <alignment horizontal="center"/>
    </xf>
    <xf numFmtId="1" fontId="19" fillId="24" borderId="10" xfId="52" applyNumberFormat="1" applyFont="1" applyFill="1" applyBorder="1" applyAlignment="1">
      <alignment vertical="center"/>
    </xf>
    <xf numFmtId="1" fontId="27" fillId="24" borderId="10" xfId="52" applyNumberFormat="1" applyFont="1" applyFill="1" applyBorder="1" applyAlignment="1">
      <alignment vertical="center"/>
    </xf>
    <xf numFmtId="2" fontId="25" fillId="25" borderId="18" xfId="0" applyNumberFormat="1" applyFont="1" applyFill="1" applyBorder="1"/>
    <xf numFmtId="2" fontId="25" fillId="25" borderId="0" xfId="0" applyNumberFormat="1" applyFont="1" applyFill="1" applyBorder="1"/>
    <xf numFmtId="2" fontId="19" fillId="25" borderId="0" xfId="0" applyNumberFormat="1" applyFont="1" applyFill="1" applyBorder="1"/>
    <xf numFmtId="1" fontId="19" fillId="0" borderId="0" xfId="0" applyNumberFormat="1" applyFont="1" applyBorder="1" applyAlignment="1">
      <alignment wrapText="1"/>
    </xf>
    <xf numFmtId="2" fontId="14" fillId="25" borderId="0" xfId="0" applyNumberFormat="1" applyFont="1" applyFill="1" applyAlignment="1">
      <alignment wrapText="1"/>
    </xf>
    <xf numFmtId="2" fontId="42" fillId="25" borderId="0" xfId="0" applyNumberFormat="1" applyFont="1" applyFill="1"/>
    <xf numFmtId="2" fontId="26" fillId="25" borderId="0" xfId="0" applyNumberFormat="1" applyFont="1" applyFill="1" applyAlignment="1">
      <alignment wrapText="1"/>
    </xf>
    <xf numFmtId="1" fontId="19" fillId="0" borderId="0" xfId="0" applyNumberFormat="1" applyFont="1" applyBorder="1" applyAlignment="1">
      <alignment horizontal="right"/>
    </xf>
    <xf numFmtId="1" fontId="35" fillId="0" borderId="19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1" fontId="19" fillId="24" borderId="10" xfId="52" applyNumberFormat="1" applyFont="1" applyFill="1" applyBorder="1" applyAlignment="1">
      <alignment horizontal="center" vertical="center"/>
    </xf>
    <xf numFmtId="1" fontId="19" fillId="24" borderId="10" xfId="52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172" fontId="22" fillId="25" borderId="0" xfId="51" applyNumberFormat="1" applyFont="1" applyFill="1" applyBorder="1" applyAlignment="1">
      <alignment horizontal="left" vertical="center"/>
    </xf>
    <xf numFmtId="172" fontId="20" fillId="25" borderId="17" xfId="51" applyNumberFormat="1" applyFont="1" applyFill="1" applyBorder="1" applyAlignment="1">
      <alignment horizontal="center" vertical="top" wrapText="1"/>
    </xf>
    <xf numFmtId="172" fontId="20" fillId="25" borderId="14" xfId="51" applyNumberFormat="1" applyFont="1" applyFill="1" applyBorder="1" applyAlignment="1">
      <alignment horizontal="center" vertical="top" wrapText="1"/>
    </xf>
    <xf numFmtId="172" fontId="20" fillId="25" borderId="10" xfId="51" applyNumberFormat="1" applyFont="1" applyFill="1" applyBorder="1" applyAlignment="1">
      <alignment horizontal="center" vertical="top"/>
    </xf>
    <xf numFmtId="172" fontId="20" fillId="25" borderId="10" xfId="51" applyNumberFormat="1" applyFont="1" applyFill="1" applyBorder="1" applyAlignment="1">
      <alignment horizontal="center" vertical="top" wrapText="1"/>
    </xf>
    <xf numFmtId="172" fontId="20" fillId="25" borderId="14" xfId="51" applyNumberFormat="1" applyFont="1" applyFill="1" applyBorder="1" applyAlignment="1">
      <alignment horizontal="center" vertical="top"/>
    </xf>
    <xf numFmtId="172" fontId="35" fillId="25" borderId="0" xfId="0" applyNumberFormat="1" applyFont="1" applyFill="1" applyAlignment="1">
      <alignment horizontal="center"/>
    </xf>
    <xf numFmtId="172" fontId="19" fillId="25" borderId="0" xfId="0" applyNumberFormat="1" applyFont="1" applyFill="1" applyAlignment="1">
      <alignment horizontal="right"/>
    </xf>
    <xf numFmtId="172" fontId="19" fillId="25" borderId="20" xfId="0" applyNumberFormat="1" applyFont="1" applyFill="1" applyBorder="1" applyAlignment="1">
      <alignment horizontal="right"/>
    </xf>
    <xf numFmtId="2" fontId="25" fillId="25" borderId="10" xfId="0" applyNumberFormat="1" applyFont="1" applyFill="1" applyBorder="1" applyAlignment="1">
      <alignment horizontal="center"/>
    </xf>
    <xf numFmtId="2" fontId="25" fillId="25" borderId="17" xfId="0" applyNumberFormat="1" applyFont="1" applyFill="1" applyBorder="1" applyAlignment="1">
      <alignment horizontal="center"/>
    </xf>
    <xf numFmtId="2" fontId="25" fillId="25" borderId="14" xfId="0" applyNumberFormat="1" applyFont="1" applyFill="1" applyBorder="1" applyAlignment="1">
      <alignment horizontal="center"/>
    </xf>
    <xf numFmtId="2" fontId="25" fillId="25" borderId="17" xfId="52" applyNumberFormat="1" applyFont="1" applyFill="1" applyBorder="1" applyAlignment="1">
      <alignment horizontal="center" vertical="center" wrapText="1"/>
    </xf>
    <xf numFmtId="2" fontId="25" fillId="25" borderId="14" xfId="52" applyNumberFormat="1" applyFont="1" applyFill="1" applyBorder="1" applyAlignment="1">
      <alignment horizontal="center" vertical="center" wrapText="1"/>
    </xf>
    <xf numFmtId="2" fontId="25" fillId="25" borderId="10" xfId="0" applyNumberFormat="1" applyFont="1" applyFill="1" applyBorder="1" applyAlignment="1">
      <alignment horizontal="center" wrapText="1"/>
    </xf>
    <xf numFmtId="2" fontId="25" fillId="25" borderId="17" xfId="0" applyNumberFormat="1" applyFont="1" applyFill="1" applyBorder="1" applyAlignment="1">
      <alignment horizontal="center" wrapText="1"/>
    </xf>
    <xf numFmtId="2" fontId="25" fillId="25" borderId="14" xfId="0" applyNumberFormat="1" applyFont="1" applyFill="1" applyBorder="1" applyAlignment="1">
      <alignment horizontal="center" wrapText="1"/>
    </xf>
    <xf numFmtId="2" fontId="25" fillId="25" borderId="17" xfId="52" applyNumberFormat="1" applyFont="1" applyFill="1" applyBorder="1" applyAlignment="1">
      <alignment horizontal="center" vertical="center"/>
    </xf>
    <xf numFmtId="2" fontId="25" fillId="25" borderId="14" xfId="52" applyNumberFormat="1" applyFont="1" applyFill="1" applyBorder="1" applyAlignment="1">
      <alignment horizontal="center" vertical="center"/>
    </xf>
    <xf numFmtId="2" fontId="19" fillId="25" borderId="0" xfId="0" applyNumberFormat="1" applyFont="1" applyFill="1" applyAlignment="1">
      <alignment horizontal="left"/>
    </xf>
    <xf numFmtId="2" fontId="25" fillId="25" borderId="10" xfId="52" applyNumberFormat="1" applyFont="1" applyFill="1" applyBorder="1" applyAlignment="1">
      <alignment horizontal="center" vertical="center"/>
    </xf>
    <xf numFmtId="2" fontId="33" fillId="25" borderId="10" xfId="0" applyNumberFormat="1" applyFont="1" applyFill="1" applyBorder="1" applyAlignment="1">
      <alignment horizontal="center"/>
    </xf>
    <xf numFmtId="2" fontId="33" fillId="25" borderId="10" xfId="0" applyNumberFormat="1" applyFont="1" applyFill="1" applyBorder="1" applyAlignment="1">
      <alignment horizontal="center" vertical="justify"/>
    </xf>
    <xf numFmtId="2" fontId="25" fillId="25" borderId="21" xfId="0" applyNumberFormat="1" applyFont="1" applyFill="1" applyBorder="1" applyAlignment="1">
      <alignment horizontal="center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2" xfId="42"/>
    <cellStyle name="Normal 2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rmal_08-09(1)" xfId="51"/>
    <cellStyle name="Normal_summary 2" xfId="52"/>
    <cellStyle name="Note" xfId="53" builtinId="10" customBuiltin="1"/>
    <cellStyle name="Output" xfId="54" builtinId="21" customBuiltin="1"/>
    <cellStyle name="Percent 2" xfId="55"/>
    <cellStyle name="Title" xfId="56" builtinId="15" customBuiltin="1"/>
    <cellStyle name="Total" xfId="57" builtinId="25" customBuiltin="1"/>
    <cellStyle name="Warning Text" xfId="5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115" zoomScaleNormal="115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C107" sqref="C107"/>
    </sheetView>
  </sheetViews>
  <sheetFormatPr defaultRowHeight="16.5" customHeight="1" x14ac:dyDescent="0.2"/>
  <cols>
    <col min="1" max="1" width="31.42578125" customWidth="1"/>
    <col min="2" max="2" width="22.85546875" customWidth="1"/>
    <col min="3" max="3" width="24.85546875" customWidth="1"/>
    <col min="4" max="4" width="22.140625" customWidth="1"/>
    <col min="5" max="5" width="23.28515625" customWidth="1"/>
  </cols>
  <sheetData>
    <row r="1" spans="1:5" ht="16.5" customHeight="1" x14ac:dyDescent="0.25">
      <c r="A1" s="91" t="s">
        <v>210</v>
      </c>
      <c r="B1" s="92"/>
      <c r="C1" s="92"/>
      <c r="D1" s="92"/>
      <c r="E1" s="92"/>
    </row>
    <row r="2" spans="1:5" ht="16.5" customHeight="1" x14ac:dyDescent="0.2">
      <c r="A2" s="90" t="s">
        <v>214</v>
      </c>
      <c r="B2" s="90"/>
      <c r="C2" s="90"/>
      <c r="D2" s="90"/>
      <c r="E2" s="90"/>
    </row>
    <row r="3" spans="1:5" ht="16.5" customHeight="1" x14ac:dyDescent="0.2">
      <c r="A3" s="90" t="s">
        <v>213</v>
      </c>
      <c r="B3" s="90"/>
      <c r="C3" s="90"/>
      <c r="D3" s="90"/>
      <c r="E3" s="90"/>
    </row>
    <row r="4" spans="1:5" ht="24.75" customHeight="1" x14ac:dyDescent="0.2">
      <c r="A4" s="81" t="s">
        <v>67</v>
      </c>
      <c r="B4" s="93" t="s">
        <v>215</v>
      </c>
      <c r="C4" s="93"/>
      <c r="D4" s="93" t="s">
        <v>236</v>
      </c>
      <c r="E4" s="93"/>
    </row>
    <row r="5" spans="1:5" ht="27.75" customHeight="1" x14ac:dyDescent="0.2">
      <c r="A5" s="2"/>
      <c r="B5" s="94" t="s">
        <v>216</v>
      </c>
      <c r="C5" s="94"/>
      <c r="D5" s="95" t="s">
        <v>227</v>
      </c>
      <c r="E5" s="95"/>
    </row>
    <row r="6" spans="1:5" ht="24" customHeight="1" x14ac:dyDescent="0.2">
      <c r="A6" s="2"/>
      <c r="B6" s="1" t="s">
        <v>96</v>
      </c>
      <c r="C6" s="1" t="s">
        <v>68</v>
      </c>
      <c r="D6" s="1" t="s">
        <v>96</v>
      </c>
      <c r="E6" s="1" t="s">
        <v>68</v>
      </c>
    </row>
    <row r="7" spans="1:5" ht="16.5" customHeight="1" x14ac:dyDescent="0.2">
      <c r="A7" s="82" t="s">
        <v>69</v>
      </c>
      <c r="B7" s="2"/>
      <c r="C7" s="2"/>
      <c r="D7" s="2"/>
      <c r="E7" s="2"/>
    </row>
    <row r="8" spans="1:5" ht="16.5" customHeight="1" x14ac:dyDescent="0.2">
      <c r="A8" s="10" t="s">
        <v>158</v>
      </c>
      <c r="B8" s="3">
        <v>22.39</v>
      </c>
      <c r="C8" s="3">
        <v>4.3421699999999994</v>
      </c>
      <c r="D8" s="3">
        <f>'Fruits 2012-13'!B38</f>
        <v>21.396999999999998</v>
      </c>
      <c r="E8" s="3">
        <f>'Fruits 2012-13'!C38</f>
        <v>9.3420000000000005</v>
      </c>
    </row>
    <row r="9" spans="1:5" ht="16.5" customHeight="1" x14ac:dyDescent="0.2">
      <c r="A9" s="10" t="s">
        <v>146</v>
      </c>
      <c r="B9" s="3">
        <v>95.162960000000012</v>
      </c>
      <c r="C9" s="3">
        <v>960.93709999999999</v>
      </c>
      <c r="D9" s="3">
        <f>'Fruits 2012-13'!D38</f>
        <v>108.05800000000001</v>
      </c>
      <c r="E9" s="3">
        <f>'Fruits 2012-13'!E38</f>
        <v>1266.461</v>
      </c>
    </row>
    <row r="10" spans="1:5" ht="16.5" customHeight="1" x14ac:dyDescent="0.2">
      <c r="A10" s="11" t="s">
        <v>71</v>
      </c>
      <c r="B10" s="3">
        <v>321.8784</v>
      </c>
      <c r="C10" s="3">
        <v>2203.3719999999998</v>
      </c>
      <c r="D10" s="3">
        <f>'Fruits 2012-13'!F38</f>
        <v>311.49700000000007</v>
      </c>
      <c r="E10" s="3">
        <f>'Fruits 2012-13'!G38</f>
        <v>1915.3749999999998</v>
      </c>
    </row>
    <row r="11" spans="1:5" ht="16.5" customHeight="1" x14ac:dyDescent="0.2">
      <c r="A11" s="10" t="s">
        <v>72</v>
      </c>
      <c r="B11" s="3">
        <v>796.50099999999998</v>
      </c>
      <c r="C11" s="3">
        <v>28455.059000000001</v>
      </c>
      <c r="D11" s="3">
        <f>'Fruits 2012-13'!J38</f>
        <v>775.99500000000012</v>
      </c>
      <c r="E11" s="3">
        <f>'Fruits 2012-13'!K38</f>
        <v>26509.096000000005</v>
      </c>
    </row>
    <row r="12" spans="1:5" ht="16.5" customHeight="1" x14ac:dyDescent="0.2">
      <c r="A12" s="10" t="s">
        <v>147</v>
      </c>
      <c r="B12" s="3">
        <v>33.797869999999996</v>
      </c>
      <c r="C12" s="3">
        <v>252.423</v>
      </c>
      <c r="D12" s="3">
        <f>'Fruits 2012-13'!L38</f>
        <v>40.530999999999999</v>
      </c>
      <c r="E12" s="3">
        <f>'Fruits 2012-13'!M38</f>
        <v>438.01</v>
      </c>
    </row>
    <row r="13" spans="1:5" ht="16.5" customHeight="1" x14ac:dyDescent="0.2">
      <c r="A13" s="9" t="s">
        <v>148</v>
      </c>
      <c r="B13" s="3"/>
      <c r="C13" s="3"/>
      <c r="D13" s="3"/>
      <c r="E13" s="3"/>
    </row>
    <row r="14" spans="1:5" ht="16.5" customHeight="1" x14ac:dyDescent="0.2">
      <c r="A14" s="12" t="s">
        <v>149</v>
      </c>
      <c r="B14" s="3">
        <v>233.95099999999999</v>
      </c>
      <c r="C14" s="3">
        <v>2272.1119999999996</v>
      </c>
      <c r="D14" s="3">
        <f>'Citrus 2012-13'!B38</f>
        <v>255.20699999999997</v>
      </c>
      <c r="E14" s="3">
        <f>'Citrus 2012-13'!C38</f>
        <v>2523.509</v>
      </c>
    </row>
    <row r="15" spans="1:5" ht="16.5" customHeight="1" x14ac:dyDescent="0.2">
      <c r="A15" s="12" t="s">
        <v>175</v>
      </c>
      <c r="B15" s="3">
        <v>329.072</v>
      </c>
      <c r="C15" s="3">
        <v>3128.4770000000003</v>
      </c>
      <c r="D15" s="3">
        <f>'Citrus 2012-13'!D38</f>
        <v>311.17599999999999</v>
      </c>
      <c r="E15" s="3">
        <f>'Citrus 2012-13'!E38</f>
        <v>2906.308</v>
      </c>
    </row>
    <row r="16" spans="1:5" ht="21" customHeight="1" x14ac:dyDescent="0.2">
      <c r="A16" s="13" t="s">
        <v>222</v>
      </c>
      <c r="B16" s="3">
        <v>161.65600000000001</v>
      </c>
      <c r="C16" s="3">
        <v>1231.855</v>
      </c>
      <c r="D16" s="3">
        <f>'Citrus 2012-13'!F38</f>
        <v>323.154</v>
      </c>
      <c r="E16" s="3">
        <f>'Citrus 2012-13'!G38</f>
        <v>3519.9079999999999</v>
      </c>
    </row>
    <row r="17" spans="1:5" ht="16.5" customHeight="1" x14ac:dyDescent="0.2">
      <c r="A17" s="12" t="s">
        <v>150</v>
      </c>
      <c r="B17" s="3">
        <v>190.41281000000001</v>
      </c>
      <c r="C17" s="3">
        <v>1289.6309500000002</v>
      </c>
      <c r="D17" s="3">
        <f>'Citrus 2012-13'!H38</f>
        <v>152.95100000000002</v>
      </c>
      <c r="E17" s="3">
        <f>'Citrus 2012-13'!I38</f>
        <v>1140.009</v>
      </c>
    </row>
    <row r="18" spans="1:5" ht="16.5" customHeight="1" x14ac:dyDescent="0.2">
      <c r="A18" s="10" t="s">
        <v>151</v>
      </c>
      <c r="B18" s="4">
        <v>915.09181000000012</v>
      </c>
      <c r="C18" s="4">
        <v>7922.0749500000002</v>
      </c>
      <c r="D18" s="4">
        <f>SUM(D14:D17)</f>
        <v>1042.4879999999998</v>
      </c>
      <c r="E18" s="4">
        <f>SUM(E14:E17)</f>
        <v>10089.734</v>
      </c>
    </row>
    <row r="19" spans="1:5" ht="16.5" customHeight="1" x14ac:dyDescent="0.2">
      <c r="A19" s="10" t="s">
        <v>177</v>
      </c>
      <c r="B19" s="3">
        <v>18.505999999999997</v>
      </c>
      <c r="C19" s="3">
        <v>127.267</v>
      </c>
      <c r="D19" s="3">
        <f>'Fruits 2012-13'!N38</f>
        <v>19.552999999999997</v>
      </c>
      <c r="E19" s="3">
        <f>'Fruits 2012-13'!O38</f>
        <v>135.63499999999999</v>
      </c>
    </row>
    <row r="20" spans="1:5" ht="16.5" customHeight="1" x14ac:dyDescent="0.2">
      <c r="A20" s="10" t="s">
        <v>74</v>
      </c>
      <c r="B20" s="3">
        <v>116.00304</v>
      </c>
      <c r="C20" s="3">
        <v>2220.94</v>
      </c>
      <c r="D20" s="3">
        <f>'Fruits 2012-13'!P38</f>
        <v>117.63199999999999</v>
      </c>
      <c r="E20" s="3">
        <f>'Fruits 2012-13'!Q38</f>
        <v>2483.0940000000001</v>
      </c>
    </row>
    <row r="21" spans="1:5" ht="16.5" customHeight="1" x14ac:dyDescent="0.2">
      <c r="A21" s="10" t="s">
        <v>73</v>
      </c>
      <c r="B21" s="3">
        <v>219.90348999999995</v>
      </c>
      <c r="C21" s="3">
        <v>2510.3923500000001</v>
      </c>
      <c r="D21" s="3">
        <f>'Fruits 2012-13'!R38</f>
        <v>235.60499999999996</v>
      </c>
      <c r="E21" s="3">
        <f>'Fruits 2012-13'!S38</f>
        <v>3198.2788999999998</v>
      </c>
    </row>
    <row r="22" spans="1:5" ht="16.5" customHeight="1" x14ac:dyDescent="0.2">
      <c r="A22" s="10" t="s">
        <v>176</v>
      </c>
      <c r="B22" s="3">
        <v>59.832999999999998</v>
      </c>
      <c r="C22" s="3">
        <v>1041.654</v>
      </c>
      <c r="D22" s="3">
        <f>'Fruits 2012-13'!T38</f>
        <v>66.731000000000009</v>
      </c>
      <c r="E22" s="3">
        <f>'Fruits 2012-13'!U38</f>
        <v>1175.703</v>
      </c>
    </row>
    <row r="23" spans="1:5" ht="16.5" customHeight="1" x14ac:dyDescent="0.2">
      <c r="A23" s="10" t="s">
        <v>152</v>
      </c>
      <c r="B23" s="3">
        <v>3.3451300000000002</v>
      </c>
      <c r="C23" s="3">
        <v>5.6536</v>
      </c>
      <c r="D23" s="3">
        <f>'Fruits 2012-13'!V38</f>
        <v>3.952</v>
      </c>
      <c r="E23" s="3">
        <f>'Fruits 2012-13'!W38</f>
        <v>7.1665000000000001</v>
      </c>
    </row>
    <row r="24" spans="1:5" ht="16.5" customHeight="1" x14ac:dyDescent="0.2">
      <c r="A24" s="10" t="s">
        <v>153</v>
      </c>
      <c r="B24" s="3">
        <v>80.394290000000012</v>
      </c>
      <c r="C24" s="3">
        <v>538.12572999999998</v>
      </c>
      <c r="D24" s="3">
        <f>'Fruits 2012-13'!X38</f>
        <v>82.742000000000004</v>
      </c>
      <c r="E24" s="3">
        <f>'Fruits 2012-13'!Y38</f>
        <v>580.08199999999999</v>
      </c>
    </row>
    <row r="25" spans="1:5" ht="16.5" customHeight="1" x14ac:dyDescent="0.2">
      <c r="A25" s="10" t="s">
        <v>70</v>
      </c>
      <c r="B25" s="3">
        <v>2378.1108200000003</v>
      </c>
      <c r="C25" s="3">
        <v>16196.394479999999</v>
      </c>
      <c r="D25" s="3">
        <f>'Fruits 2012-13'!Z38</f>
        <v>2500.018</v>
      </c>
      <c r="E25" s="3">
        <f>'Fruits 2012-13'!AA38</f>
        <v>18002.381000000001</v>
      </c>
    </row>
    <row r="26" spans="1:5" ht="16.5" customHeight="1" x14ac:dyDescent="0.2">
      <c r="A26" s="10" t="s">
        <v>75</v>
      </c>
      <c r="B26" s="3">
        <v>117.35299999999999</v>
      </c>
      <c r="C26" s="3">
        <v>4457.0884999999998</v>
      </c>
      <c r="D26" s="3">
        <f>'Fruits 2012-13'!AB38</f>
        <v>132.18300000000002</v>
      </c>
      <c r="E26" s="3">
        <f>'Fruits 2012-13'!AC38</f>
        <v>5381.7269999999999</v>
      </c>
    </row>
    <row r="27" spans="1:5" ht="16.5" customHeight="1" x14ac:dyDescent="0.2">
      <c r="A27" s="10" t="s">
        <v>211</v>
      </c>
      <c r="B27" s="3">
        <v>15.92</v>
      </c>
      <c r="C27" s="3">
        <v>97.396000000000001</v>
      </c>
      <c r="D27" s="3">
        <f>'Fruits 2012-13'!AD38</f>
        <v>18.014999999999997</v>
      </c>
      <c r="E27" s="3">
        <f>'Fruits 2012-13'!AE38</f>
        <v>100.51</v>
      </c>
    </row>
    <row r="28" spans="1:5" ht="16.5" customHeight="1" x14ac:dyDescent="0.2">
      <c r="A28" s="10" t="s">
        <v>154</v>
      </c>
      <c r="B28" s="3">
        <v>20.26146</v>
      </c>
      <c r="C28" s="3">
        <v>90.84</v>
      </c>
      <c r="D28" s="3">
        <f>'Fruits 2012-13'!AH38</f>
        <v>19.238999999999997</v>
      </c>
      <c r="E28" s="3">
        <f>'Fruits 2012-13'!AI38</f>
        <v>97.935000000000002</v>
      </c>
    </row>
    <row r="29" spans="1:5" ht="16.5" customHeight="1" x14ac:dyDescent="0.2">
      <c r="A29" s="10" t="s">
        <v>155</v>
      </c>
      <c r="B29" s="3">
        <v>48.021550000000005</v>
      </c>
      <c r="C29" s="3">
        <v>294.125</v>
      </c>
      <c r="D29" s="3">
        <f>'Fruits 2012-13'!AJ38</f>
        <v>42.295000000000002</v>
      </c>
      <c r="E29" s="3">
        <f>'Fruits 2012-13'!AK38</f>
        <v>295.09199999999998</v>
      </c>
    </row>
    <row r="30" spans="1:5" ht="16.5" customHeight="1" x14ac:dyDescent="0.2">
      <c r="A30" s="10" t="s">
        <v>76</v>
      </c>
      <c r="B30" s="3">
        <v>102.377</v>
      </c>
      <c r="C30" s="3">
        <v>1500.0309999999999</v>
      </c>
      <c r="D30" s="3">
        <f>'Fruits 2012-13'!AN38</f>
        <v>105.16800000000002</v>
      </c>
      <c r="E30" s="3">
        <f>'Fruits 2012-13'!AO38</f>
        <v>1570.586</v>
      </c>
    </row>
    <row r="31" spans="1:5" ht="16.5" customHeight="1" x14ac:dyDescent="0.2">
      <c r="A31" s="10" t="s">
        <v>156</v>
      </c>
      <c r="B31" s="3">
        <v>25.845280000000002</v>
      </c>
      <c r="C31" s="3">
        <v>72.257999999999996</v>
      </c>
      <c r="D31" s="3">
        <f>'Fruits 2012-13'!AP38</f>
        <v>23.943999999999996</v>
      </c>
      <c r="E31" s="3">
        <f>'Fruits 2012-13'!AQ38</f>
        <v>74.123999999999995</v>
      </c>
    </row>
    <row r="32" spans="1:5" ht="16.5" customHeight="1" x14ac:dyDescent="0.2">
      <c r="A32" s="10" t="s">
        <v>77</v>
      </c>
      <c r="B32" s="3">
        <v>112.205</v>
      </c>
      <c r="C32" s="3">
        <v>772.44950000000006</v>
      </c>
      <c r="D32" s="3">
        <f>'Fruits 2012-13'!AR38</f>
        <v>113.248</v>
      </c>
      <c r="E32" s="3">
        <f>'Fruits 2012-13'!AS38</f>
        <v>744.96254999999985</v>
      </c>
    </row>
    <row r="33" spans="1:5" ht="16.5" customHeight="1" x14ac:dyDescent="0.2">
      <c r="A33" s="10" t="s">
        <v>78</v>
      </c>
      <c r="B33" s="3">
        <v>163.35</v>
      </c>
      <c r="C33" s="3">
        <v>1425.7959999999998</v>
      </c>
      <c r="D33" s="3">
        <f>'Fruits 2012-13'!AT38</f>
        <v>163.88400000000001</v>
      </c>
      <c r="E33" s="3">
        <f>'Fruits 2012-13'!AU38</f>
        <v>1495.0350000000001</v>
      </c>
    </row>
    <row r="34" spans="1:5" ht="16.5" customHeight="1" x14ac:dyDescent="0.2">
      <c r="A34" s="10" t="s">
        <v>157</v>
      </c>
      <c r="B34" s="3">
        <v>149.50280000000001</v>
      </c>
      <c r="C34" s="3">
        <v>284.40985000000001</v>
      </c>
      <c r="D34" s="3">
        <f>'Fruits 2012-13'!AX38</f>
        <v>122.654</v>
      </c>
      <c r="E34" s="3">
        <f>'Fruits 2012-13'!AY38</f>
        <v>233.11500000000001</v>
      </c>
    </row>
    <row r="35" spans="1:5" ht="16.5" customHeight="1" x14ac:dyDescent="0.2">
      <c r="A35" s="10" t="s">
        <v>79</v>
      </c>
      <c r="B35" s="3">
        <v>888.80871000000013</v>
      </c>
      <c r="C35" s="3">
        <v>4990.9372500000009</v>
      </c>
      <c r="D35" s="3">
        <f>'Fruits 2012-13'!AZ38+'Fruits 2012-13'!AL38+'Fruits 2012-13'!AV38+'Fruits 2012-13'!H38</f>
        <v>915.18600000000015</v>
      </c>
      <c r="E35" s="3">
        <f>'Fruits 2012-13'!BA38+'Fruits 2012-13'!I38+'Fruits 2012-13'!AM38+'Fruits 2012-13'!AW38</f>
        <v>5481.889000000001</v>
      </c>
    </row>
    <row r="36" spans="1:5" ht="16.5" customHeight="1" x14ac:dyDescent="0.2">
      <c r="A36" s="14" t="s">
        <v>159</v>
      </c>
      <c r="B36" s="4">
        <f>B8+B9+B10+B11+B12+B18+B19+B20+B21+B22+B23+B24+B25+B26+B27+B28+B29+B30+B31+B32+B33+B34+B35</f>
        <v>6704.5626100000018</v>
      </c>
      <c r="C36" s="4">
        <f>C8+C9+C10+C11+C12+C18+C19+C20+C21+C22+C23+C24+C25+C26+C27+C28+C29+C30+C31+C32+C33+C34+C35</f>
        <v>76423.966480000003</v>
      </c>
      <c r="D36" s="4">
        <f>D8+D9+D10+D11+D12+D18+D19+D20+D21+D22+D23+D24+D25+D26+D27+D28+D29+D30+D31+D32+D33+D34+D35</f>
        <v>6982.0149999999994</v>
      </c>
      <c r="E36" s="4">
        <f>E8+E9+E10+E11+E12+E18+E19+E20+E21+E22+E23+E24+E25+E26+E27+E28+E29+E30+E31+E32+E33+E34+E35</f>
        <v>81285.333949999986</v>
      </c>
    </row>
    <row r="37" spans="1:5" ht="16.5" customHeight="1" x14ac:dyDescent="0.2">
      <c r="A37" s="9" t="s">
        <v>80</v>
      </c>
      <c r="B37" s="3"/>
      <c r="C37" s="3"/>
      <c r="D37" s="3"/>
      <c r="E37" s="3"/>
    </row>
    <row r="38" spans="1:5" ht="16.5" customHeight="1" x14ac:dyDescent="0.2">
      <c r="A38" s="10" t="s">
        <v>160</v>
      </c>
      <c r="B38" s="3">
        <v>118.44</v>
      </c>
      <c r="C38" s="3">
        <v>1151.4175</v>
      </c>
      <c r="D38" s="3">
        <f>'Vegetables 2012-13'!B38</f>
        <v>123.51100000000001</v>
      </c>
      <c r="E38" s="3">
        <f>'Vegetables 2012-13'!C38</f>
        <v>1268.8992000000001</v>
      </c>
    </row>
    <row r="39" spans="1:5" ht="16.5" customHeight="1" x14ac:dyDescent="0.2">
      <c r="A39" s="10" t="s">
        <v>224</v>
      </c>
      <c r="B39" s="3">
        <v>76.665000000000006</v>
      </c>
      <c r="C39" s="3">
        <v>866.22840000000008</v>
      </c>
      <c r="D39" s="3">
        <f>'Vegetables 2012-13'!D38</f>
        <v>83.215000000000018</v>
      </c>
      <c r="E39" s="3">
        <f>'Vegetables 2012-13'!E38</f>
        <v>940.15150000000006</v>
      </c>
    </row>
    <row r="40" spans="1:5" ht="16.5" customHeight="1" x14ac:dyDescent="0.2">
      <c r="A40" s="10" t="s">
        <v>225</v>
      </c>
      <c r="B40" s="3">
        <v>105.44</v>
      </c>
      <c r="C40" s="3">
        <v>1984.1368499999996</v>
      </c>
      <c r="D40" s="3">
        <f>'Vegetables 2012-13'!F38</f>
        <v>113.923</v>
      </c>
      <c r="E40" s="3">
        <f>'Vegetables 2012-13'!G38</f>
        <v>2089.8919400000004</v>
      </c>
    </row>
    <row r="41" spans="1:5" ht="16.5" customHeight="1" x14ac:dyDescent="0.2">
      <c r="A41" s="10" t="s">
        <v>84</v>
      </c>
      <c r="B41" s="3">
        <v>691.54300000000012</v>
      </c>
      <c r="C41" s="3">
        <v>12634.132999999998</v>
      </c>
      <c r="D41" s="3">
        <f>'Vegetables 2012-13'!H38</f>
        <v>722.07200000000012</v>
      </c>
      <c r="E41" s="3">
        <f>'Vegetables 2012-13'!I38</f>
        <v>13443.585999999998</v>
      </c>
    </row>
    <row r="42" spans="1:5" ht="16.5" customHeight="1" x14ac:dyDescent="0.2">
      <c r="A42" s="10" t="s">
        <v>85</v>
      </c>
      <c r="B42" s="3">
        <v>389.62200000000001</v>
      </c>
      <c r="C42" s="3">
        <v>8412.1169999999984</v>
      </c>
      <c r="D42" s="3">
        <f>'Vegetables 2012-13'!J38</f>
        <v>372.35500000000002</v>
      </c>
      <c r="E42" s="3">
        <f>'Vegetables 2012-13'!K38</f>
        <v>8534.2279999999992</v>
      </c>
    </row>
    <row r="43" spans="1:5" ht="16.5" customHeight="1" x14ac:dyDescent="0.2">
      <c r="A43" s="10" t="s">
        <v>161</v>
      </c>
      <c r="B43" s="3">
        <v>9.6260000000000012</v>
      </c>
      <c r="C43" s="3">
        <v>127.47750000000001</v>
      </c>
      <c r="D43" s="3">
        <f>'Vegetables 2012-13'!L38</f>
        <v>29.137999999999998</v>
      </c>
      <c r="E43" s="3">
        <f>'Vegetables 2012-13'!M38</f>
        <v>153.35000000000002</v>
      </c>
    </row>
    <row r="44" spans="1:5" ht="16.5" customHeight="1" x14ac:dyDescent="0.2">
      <c r="A44" s="10" t="s">
        <v>162</v>
      </c>
      <c r="B44" s="3">
        <v>62.217999999999996</v>
      </c>
      <c r="C44" s="3">
        <v>1153.2819999999999</v>
      </c>
      <c r="D44" s="3">
        <f>'Vegetables 2012-13'!N38</f>
        <v>64.264999999999986</v>
      </c>
      <c r="E44" s="3">
        <f>'Vegetables 2012-13'!O38</f>
        <v>1144.5379999999998</v>
      </c>
    </row>
    <row r="45" spans="1:5" ht="16.5" customHeight="1" x14ac:dyDescent="0.2">
      <c r="A45" s="10" t="s">
        <v>86</v>
      </c>
      <c r="B45" s="3">
        <v>390.78699999999992</v>
      </c>
      <c r="C45" s="3">
        <v>7348.9370000000017</v>
      </c>
      <c r="D45" s="3">
        <f>'Vegetables 2012-13'!P38</f>
        <v>402.19799999999998</v>
      </c>
      <c r="E45" s="3">
        <f>'Vegetables 2012-13'!Q38</f>
        <v>7886.7330000000011</v>
      </c>
    </row>
    <row r="46" spans="1:5" ht="16.5" customHeight="1" x14ac:dyDescent="0.2">
      <c r="A46" s="10" t="s">
        <v>163</v>
      </c>
      <c r="B46" s="3">
        <v>39.770000000000003</v>
      </c>
      <c r="C46" s="3">
        <v>607.1648600000002</v>
      </c>
      <c r="D46" s="3">
        <f>'Vegetables 2012-13'!R38</f>
        <v>40.896000000000001</v>
      </c>
      <c r="E46" s="3">
        <f>'Vegetables 2012-13'!S38</f>
        <v>640.98894999999993</v>
      </c>
    </row>
    <row r="47" spans="1:5" ht="16.5" customHeight="1" x14ac:dyDescent="0.2">
      <c r="A47" s="10" t="s">
        <v>164</v>
      </c>
      <c r="B47" s="3">
        <v>37.850999999999999</v>
      </c>
      <c r="C47" s="3">
        <v>791.49599999999998</v>
      </c>
      <c r="D47" s="3">
        <f>'Vegetables 2012-13'!T38</f>
        <v>41.814999999999998</v>
      </c>
      <c r="E47" s="3">
        <f>'Vegetables 2012-13'!U38</f>
        <v>868.02099999999996</v>
      </c>
    </row>
    <row r="48" spans="1:5" ht="16.5" customHeight="1" x14ac:dyDescent="0.2">
      <c r="A48" s="10" t="s">
        <v>87</v>
      </c>
      <c r="B48" s="3">
        <v>518.36900000000003</v>
      </c>
      <c r="C48" s="3">
        <v>6259.19</v>
      </c>
      <c r="D48" s="3">
        <f>'Vegetables 2012-13'!V38</f>
        <v>530.78500000000008</v>
      </c>
      <c r="E48" s="3">
        <f>'Vegetables 2012-13'!W38</f>
        <v>6350.2659999999996</v>
      </c>
    </row>
    <row r="49" spans="1:5" ht="16.5" customHeight="1" x14ac:dyDescent="0.2">
      <c r="A49" s="10" t="s">
        <v>82</v>
      </c>
      <c r="B49" s="3">
        <v>1087.2339999999999</v>
      </c>
      <c r="C49" s="3">
        <v>17511.085999999999</v>
      </c>
      <c r="D49" s="3">
        <f>'Vegetables 2012-13'!X38</f>
        <v>1051.527</v>
      </c>
      <c r="E49" s="3">
        <f>'Vegetables 2012-13'!Y38</f>
        <v>16813.009999999995</v>
      </c>
    </row>
    <row r="50" spans="1:5" ht="16.5" customHeight="1" x14ac:dyDescent="0.2">
      <c r="A50" s="10" t="s">
        <v>88</v>
      </c>
      <c r="B50" s="3">
        <v>408.24099999999999</v>
      </c>
      <c r="C50" s="3">
        <v>3744.8067999999998</v>
      </c>
      <c r="D50" s="3">
        <f>'Vegetables 2012-13'!AB38</f>
        <v>420.90100000000001</v>
      </c>
      <c r="E50" s="3">
        <f>'Vegetables 2012-13'!AC38</f>
        <v>4006.1689500000002</v>
      </c>
    </row>
    <row r="51" spans="1:5" ht="16.5" customHeight="1" x14ac:dyDescent="0.2">
      <c r="A51" s="10" t="s">
        <v>81</v>
      </c>
      <c r="B51" s="3">
        <v>1906.9660000000001</v>
      </c>
      <c r="C51" s="3">
        <v>41482.794000000002</v>
      </c>
      <c r="D51" s="3">
        <f>'Vegetables 2012-13'!AD38</f>
        <v>1992.211</v>
      </c>
      <c r="E51" s="3">
        <f>'Vegetables 2012-13'!AE38</f>
        <v>45343.59</v>
      </c>
    </row>
    <row r="52" spans="1:5" ht="16.5" customHeight="1" x14ac:dyDescent="0.2">
      <c r="A52" s="10" t="s">
        <v>165</v>
      </c>
      <c r="B52" s="3">
        <v>160.285</v>
      </c>
      <c r="C52" s="3">
        <v>2285.8989999999999</v>
      </c>
      <c r="D52" s="3">
        <f>'Vegetables 2012-13'!AF38</f>
        <v>170.297</v>
      </c>
      <c r="E52" s="3">
        <f>'Vegetables 2012-13'!AG38</f>
        <v>2410.7749999999996</v>
      </c>
    </row>
    <row r="53" spans="1:5" ht="16.5" customHeight="1" x14ac:dyDescent="0.2">
      <c r="A53" s="10" t="s">
        <v>166</v>
      </c>
      <c r="B53" s="3">
        <v>11.057</v>
      </c>
      <c r="C53" s="3">
        <v>277.56450000000001</v>
      </c>
      <c r="D53" s="3">
        <f>'Vegetables 2012-13'!AH38</f>
        <v>16.165000000000003</v>
      </c>
      <c r="E53" s="3">
        <f>'Vegetables 2012-13'!AI38</f>
        <v>372.81600000000003</v>
      </c>
    </row>
    <row r="54" spans="1:5" ht="16.5" customHeight="1" x14ac:dyDescent="0.2">
      <c r="A54" s="10" t="s">
        <v>90</v>
      </c>
      <c r="B54" s="3">
        <v>110.387</v>
      </c>
      <c r="C54" s="3">
        <v>1072.8260000000002</v>
      </c>
      <c r="D54" s="3">
        <f>'Vegetables 2012-13'!AJ38</f>
        <v>111.76000000000002</v>
      </c>
      <c r="E54" s="3">
        <f>'Vegetables 2012-13'!AK38</f>
        <v>1132.3630000000001</v>
      </c>
    </row>
    <row r="55" spans="1:5" ht="16.5" customHeight="1" x14ac:dyDescent="0.2">
      <c r="A55" s="10" t="s">
        <v>89</v>
      </c>
      <c r="B55" s="3">
        <v>226.69499999999999</v>
      </c>
      <c r="C55" s="3">
        <v>8746.5390000000007</v>
      </c>
      <c r="D55" s="3">
        <f>'Vegetables 2012-13'!AL38</f>
        <v>206.95499999999998</v>
      </c>
      <c r="E55" s="3">
        <f>'Vegetables 2012-13'!AM38</f>
        <v>7236.5929999999989</v>
      </c>
    </row>
    <row r="56" spans="1:5" ht="16.5" customHeight="1" x14ac:dyDescent="0.2">
      <c r="A56" s="10" t="s">
        <v>83</v>
      </c>
      <c r="B56" s="3">
        <v>907.05100000000027</v>
      </c>
      <c r="C56" s="3">
        <v>18653.299499999997</v>
      </c>
      <c r="D56" s="3">
        <f>'Vegetables 2012-13'!AN38</f>
        <v>879.63199999999995</v>
      </c>
      <c r="E56" s="3">
        <f>'Vegetables 2012-13'!AO38</f>
        <v>18226.634999999998</v>
      </c>
    </row>
    <row r="57" spans="1:5" ht="16.5" customHeight="1" x14ac:dyDescent="0.2">
      <c r="A57" s="10" t="s">
        <v>167</v>
      </c>
      <c r="B57" s="3">
        <v>70.585999999999999</v>
      </c>
      <c r="C57" s="3">
        <v>1727.4525999999998</v>
      </c>
      <c r="D57" s="3">
        <f>'Vegetables 2012-13'!AP38</f>
        <v>80.588000000000008</v>
      </c>
      <c r="E57" s="3">
        <f>'Vegetables 2012-13'!AQ38</f>
        <v>1789.2343999999998</v>
      </c>
    </row>
    <row r="58" spans="1:5" ht="16.5" customHeight="1" x14ac:dyDescent="0.2">
      <c r="A58" s="10" t="s">
        <v>79</v>
      </c>
      <c r="B58" s="3">
        <v>1660.5184999999999</v>
      </c>
      <c r="C58" s="3">
        <v>19487.301499999998</v>
      </c>
      <c r="D58" s="3">
        <f>'Vegetables 2012-13'!Z38+'Vegetables 2012-13'!AR38</f>
        <v>1750.9765000000002</v>
      </c>
      <c r="E58" s="3">
        <f>'Vegetables 2012-13'!AA38+'Vegetables 2012-13'!AS38</f>
        <v>21534.727650000001</v>
      </c>
    </row>
    <row r="59" spans="1:5" ht="16.5" customHeight="1" x14ac:dyDescent="0.2">
      <c r="A59" s="14" t="s">
        <v>55</v>
      </c>
      <c r="B59" s="4">
        <f>B38+B39+B40+B41+B42+B43+B44+B45+B46+B47+B48+B49+B50+B51+B52+B53+B54+B55+B56+B57+B58</f>
        <v>8989.3515000000007</v>
      </c>
      <c r="C59" s="4">
        <f>C38+C39+C40+C41+C42+C43+C44+C45+C46+C47+C48+C49+C50+C51+C52+C53+C54+C55+C56+C57+C58</f>
        <v>156325.14900999999</v>
      </c>
      <c r="D59" s="4">
        <f>SUM(D38:D58)</f>
        <v>9205.1854999999996</v>
      </c>
      <c r="E59" s="4">
        <f>SUM(E38:E58)</f>
        <v>162186.56659</v>
      </c>
    </row>
    <row r="60" spans="1:5" ht="16.5" customHeight="1" x14ac:dyDescent="0.2">
      <c r="A60" s="15"/>
      <c r="B60" s="3"/>
      <c r="C60" s="3"/>
      <c r="D60" s="3"/>
      <c r="E60" s="3"/>
    </row>
    <row r="61" spans="1:5" ht="16.5" customHeight="1" x14ac:dyDescent="0.2">
      <c r="A61" s="16" t="s">
        <v>91</v>
      </c>
      <c r="B61" s="4">
        <v>505.6</v>
      </c>
      <c r="C61" s="4">
        <v>565.70299999999997</v>
      </c>
      <c r="D61" s="4">
        <f>'Horticulture 2012-13'!I42</f>
        <v>557.16300000000001</v>
      </c>
      <c r="E61" s="4">
        <f>'Horticulture 2012-13'!J42</f>
        <v>918.2217999999998</v>
      </c>
    </row>
    <row r="62" spans="1:5" ht="16.5" customHeight="1" x14ac:dyDescent="0.2">
      <c r="A62" s="17"/>
      <c r="B62" s="3"/>
      <c r="C62" s="3"/>
      <c r="D62" s="3"/>
      <c r="E62" s="3"/>
    </row>
    <row r="63" spans="1:5" ht="16.5" customHeight="1" x14ac:dyDescent="0.2">
      <c r="A63" s="14"/>
      <c r="B63" s="3"/>
      <c r="C63" s="3"/>
      <c r="D63" s="3"/>
      <c r="E63" s="3"/>
    </row>
    <row r="64" spans="1:5" ht="16.5" customHeight="1" x14ac:dyDescent="0.2">
      <c r="A64" s="18" t="s">
        <v>93</v>
      </c>
      <c r="B64" s="3"/>
      <c r="C64" s="3">
        <v>75065.980500000005</v>
      </c>
      <c r="D64" s="3"/>
      <c r="E64" s="3">
        <f>'Flowers 2012-13'!AN39</f>
        <v>76731.850999999995</v>
      </c>
    </row>
    <row r="65" spans="1:5" ht="16.5" customHeight="1" x14ac:dyDescent="0.2">
      <c r="A65" s="9" t="s">
        <v>92</v>
      </c>
      <c r="B65" s="4">
        <v>253.64689999999996</v>
      </c>
      <c r="C65" s="4">
        <v>1651.6109100000001</v>
      </c>
      <c r="D65" s="4">
        <f>'Flowers 2012-13'!AL39</f>
        <v>232.74414000000002</v>
      </c>
      <c r="E65" s="4">
        <f>'Flowers 2012-13'!AM39</f>
        <v>1729.2120399999999</v>
      </c>
    </row>
    <row r="66" spans="1:5" ht="16.5" customHeight="1" x14ac:dyDescent="0.2">
      <c r="A66" s="10"/>
      <c r="B66" s="3"/>
      <c r="C66" s="3"/>
      <c r="D66" s="3"/>
      <c r="E66" s="3"/>
    </row>
    <row r="67" spans="1:5" ht="16.5" customHeight="1" x14ac:dyDescent="0.2">
      <c r="A67" s="9" t="s">
        <v>94</v>
      </c>
      <c r="B67" s="3"/>
      <c r="C67" s="3"/>
      <c r="D67" s="3"/>
      <c r="E67" s="3"/>
    </row>
    <row r="68" spans="1:5" ht="16.5" customHeight="1" x14ac:dyDescent="0.2">
      <c r="A68" s="19" t="s">
        <v>52</v>
      </c>
      <c r="B68" s="3">
        <v>463.89400000000001</v>
      </c>
      <c r="C68" s="3">
        <v>680.70700000000011</v>
      </c>
      <c r="D68" s="3">
        <f>'Plantations 2012-13'!B38</f>
        <v>446.39000000000004</v>
      </c>
      <c r="E68" s="3">
        <f>'Plantations 2012-13'!C38</f>
        <v>608.72000000000014</v>
      </c>
    </row>
    <row r="69" spans="1:5" ht="16.5" customHeight="1" x14ac:dyDescent="0.2">
      <c r="A69" s="19" t="s">
        <v>51</v>
      </c>
      <c r="B69" s="3">
        <v>978.83</v>
      </c>
      <c r="C69" s="3">
        <v>725.21</v>
      </c>
      <c r="D69" s="3">
        <f>'Plantations 2012-13'!D38</f>
        <v>991.61</v>
      </c>
      <c r="E69" s="3">
        <f>'Plantations 2012-13'!E38</f>
        <v>753.37</v>
      </c>
    </row>
    <row r="70" spans="1:5" ht="16.5" customHeight="1" x14ac:dyDescent="0.2">
      <c r="A70" s="19" t="s">
        <v>53</v>
      </c>
      <c r="B70" s="3">
        <v>62.981999999999999</v>
      </c>
      <c r="C70" s="3">
        <v>12.9</v>
      </c>
      <c r="D70" s="3">
        <f>'Plantations 2012-13'!F38</f>
        <v>66.465000000000003</v>
      </c>
      <c r="E70" s="3">
        <f>'Plantations 2012-13'!G38</f>
        <v>13.416</v>
      </c>
    </row>
    <row r="71" spans="1:5" ht="16.5" customHeight="1" x14ac:dyDescent="0.2">
      <c r="A71" s="19" t="s">
        <v>54</v>
      </c>
      <c r="B71" s="3">
        <v>2070.8220000000001</v>
      </c>
      <c r="C71" s="3">
        <v>14939.865999999998</v>
      </c>
      <c r="D71" s="3">
        <f>'Plantations 2012-13'!H38</f>
        <v>2136.6729999999998</v>
      </c>
      <c r="E71" s="3">
        <f>'Plantations 2012-13'!I38</f>
        <v>15609.088999999998</v>
      </c>
    </row>
    <row r="72" spans="1:5" ht="16.5" customHeight="1" x14ac:dyDescent="0.2">
      <c r="A72" s="20" t="s">
        <v>55</v>
      </c>
      <c r="B72" s="4">
        <f>B68+B69+B70+B71</f>
        <v>3576.5280000000002</v>
      </c>
      <c r="C72" s="4">
        <f>C68+C69+C70+C71</f>
        <v>16358.682999999999</v>
      </c>
      <c r="D72" s="4">
        <f>SUM(D68:D71)</f>
        <v>3641.1379999999999</v>
      </c>
      <c r="E72" s="4">
        <f>SUM(E68:E71)</f>
        <v>16984.594999999998</v>
      </c>
    </row>
    <row r="73" spans="1:5" ht="16.5" customHeight="1" x14ac:dyDescent="0.2">
      <c r="A73" s="20"/>
      <c r="B73" s="3"/>
      <c r="C73" s="3"/>
      <c r="D73" s="3"/>
      <c r="E73" s="3"/>
    </row>
    <row r="74" spans="1:5" ht="16.5" customHeight="1" x14ac:dyDescent="0.2">
      <c r="A74" s="16" t="s">
        <v>95</v>
      </c>
      <c r="B74" s="3"/>
      <c r="C74" s="3"/>
      <c r="D74" s="3"/>
      <c r="E74" s="3"/>
    </row>
    <row r="75" spans="1:5" ht="16.5" customHeight="1" x14ac:dyDescent="0.2">
      <c r="A75" s="21" t="s">
        <v>142</v>
      </c>
      <c r="B75" s="3">
        <v>35.375999999999998</v>
      </c>
      <c r="C75" s="3">
        <v>26.777999999999999</v>
      </c>
      <c r="D75" s="3">
        <f>'Spices 2012-13'!V34</f>
        <v>35.379999999999995</v>
      </c>
      <c r="E75" s="3">
        <f>'Spices 2012-13'!W34</f>
        <v>26.78</v>
      </c>
    </row>
    <row r="76" spans="1:5" ht="16.5" customHeight="1" x14ac:dyDescent="0.2">
      <c r="A76" s="21" t="s">
        <v>138</v>
      </c>
      <c r="B76" s="3">
        <v>89.005999999999986</v>
      </c>
      <c r="C76" s="3">
        <v>15.815999999999999</v>
      </c>
      <c r="D76" s="3">
        <f>'Spices 2012-13'!L34</f>
        <v>92.39</v>
      </c>
      <c r="E76" s="3">
        <f>'Spices 2012-13'!M34</f>
        <v>18.43</v>
      </c>
    </row>
    <row r="77" spans="1:5" ht="16.5" customHeight="1" x14ac:dyDescent="0.2">
      <c r="A77" s="21" t="s">
        <v>168</v>
      </c>
      <c r="B77" s="3">
        <v>804.79200000000003</v>
      </c>
      <c r="C77" s="3">
        <v>1276.3008000000002</v>
      </c>
      <c r="D77" s="3">
        <f>'Spices 2012-13'!F34</f>
        <v>794.12000000000012</v>
      </c>
      <c r="E77" s="3">
        <f>'Spices 2012-13'!G34</f>
        <v>1304.3800000000001</v>
      </c>
    </row>
    <row r="78" spans="1:5" ht="16.5" customHeight="1" x14ac:dyDescent="0.2">
      <c r="A78" s="21" t="s">
        <v>169</v>
      </c>
      <c r="B78" s="3">
        <v>2.944</v>
      </c>
      <c r="C78" s="3">
        <v>5.0350000000000001</v>
      </c>
      <c r="D78" s="3">
        <f>'Spices 2012-13'!Z34</f>
        <v>2.95</v>
      </c>
      <c r="E78" s="3">
        <f>'Spices 2012-13'!AA34</f>
        <v>5.0510000000000002</v>
      </c>
    </row>
    <row r="79" spans="1:5" ht="16.5" customHeight="1" x14ac:dyDescent="0.2">
      <c r="A79" s="21" t="s">
        <v>178</v>
      </c>
      <c r="B79" s="3">
        <v>33.47</v>
      </c>
      <c r="C79" s="3">
        <v>32.642000000000003</v>
      </c>
      <c r="D79" s="3">
        <f>'Spices 2012-13'!X34</f>
        <v>33.47</v>
      </c>
      <c r="E79" s="3">
        <f>'Spices 2012-13'!Y34</f>
        <v>32.64</v>
      </c>
    </row>
    <row r="80" spans="1:5" ht="16.5" customHeight="1" x14ac:dyDescent="0.2">
      <c r="A80" s="21" t="s">
        <v>144</v>
      </c>
      <c r="B80" s="3">
        <v>2.387</v>
      </c>
      <c r="C80" s="3">
        <v>1.1051</v>
      </c>
      <c r="D80" s="3">
        <f>'Spices 2012-13'!AD34</f>
        <v>2.38</v>
      </c>
      <c r="E80" s="3">
        <f>'Spices 2012-13'!AE34</f>
        <v>1.1000000000000001</v>
      </c>
    </row>
    <row r="81" spans="1:5" ht="16.5" customHeight="1" x14ac:dyDescent="0.2">
      <c r="A81" s="21" t="s">
        <v>139</v>
      </c>
      <c r="B81" s="3">
        <v>557.87</v>
      </c>
      <c r="C81" s="3">
        <v>532.94699999999989</v>
      </c>
      <c r="D81" s="3">
        <f>'Spices 2012-13'!N34</f>
        <v>543.19999999999993</v>
      </c>
      <c r="E81" s="3">
        <f>'Spices 2012-13'!O34</f>
        <v>523.88</v>
      </c>
    </row>
    <row r="82" spans="1:5" ht="16.5" customHeight="1" x14ac:dyDescent="0.2">
      <c r="A82" s="21" t="s">
        <v>140</v>
      </c>
      <c r="B82" s="3">
        <v>593.98</v>
      </c>
      <c r="C82" s="3">
        <v>394.32800000000003</v>
      </c>
      <c r="D82" s="3">
        <f>'Spices 2012-13'!P34</f>
        <v>593.98099999999999</v>
      </c>
      <c r="E82" s="3">
        <f>'Spices 2012-13'!Q34</f>
        <v>394.33</v>
      </c>
    </row>
    <row r="83" spans="1:5" ht="16.5" customHeight="1" x14ac:dyDescent="0.2">
      <c r="A83" s="21" t="s">
        <v>170</v>
      </c>
      <c r="B83" s="3">
        <v>93.605000000000004</v>
      </c>
      <c r="C83" s="3">
        <v>115.929</v>
      </c>
      <c r="D83" s="3">
        <f>'Spices 2012-13'!T34</f>
        <v>93.11999999999999</v>
      </c>
      <c r="E83" s="3">
        <f>'Spices 2012-13'!U34</f>
        <v>112.86999999999999</v>
      </c>
    </row>
    <row r="84" spans="1:5" ht="16.5" customHeight="1" x14ac:dyDescent="0.2">
      <c r="A84" s="21" t="s">
        <v>141</v>
      </c>
      <c r="B84" s="3">
        <v>99.554000000000002</v>
      </c>
      <c r="C84" s="3">
        <v>142.94899999999998</v>
      </c>
      <c r="D84" s="3">
        <f>'Spices 2012-13'!R34</f>
        <v>99.61</v>
      </c>
      <c r="E84" s="3">
        <f>'Spices 2012-13'!S34</f>
        <v>142.95000000000002</v>
      </c>
    </row>
    <row r="85" spans="1:5" ht="16.5" customHeight="1" x14ac:dyDescent="0.2">
      <c r="A85" s="21" t="s">
        <v>137</v>
      </c>
      <c r="B85" s="3">
        <v>242.49099999999999</v>
      </c>
      <c r="C85" s="3">
        <v>1228.3237000000001</v>
      </c>
      <c r="D85" s="3">
        <f>'Spices 2012-13'!J34</f>
        <v>247.51999999999998</v>
      </c>
      <c r="E85" s="3">
        <f>'Spices 2012-13'!K34</f>
        <v>1259.2719999999999</v>
      </c>
    </row>
    <row r="86" spans="1:5" ht="16.5" customHeight="1" x14ac:dyDescent="0.2">
      <c r="A86" s="21" t="s">
        <v>135</v>
      </c>
      <c r="B86" s="3">
        <v>155.06299999999999</v>
      </c>
      <c r="C86" s="3">
        <v>755.6178000000001</v>
      </c>
      <c r="D86" s="3">
        <f>'Spices 2012-13'!D34</f>
        <v>136.24799999999999</v>
      </c>
      <c r="E86" s="3">
        <f>'Spices 2012-13'!E34</f>
        <v>682.63000000000011</v>
      </c>
    </row>
    <row r="87" spans="1:5" ht="16.5" customHeight="1" x14ac:dyDescent="0.2">
      <c r="A87" s="21" t="s">
        <v>143</v>
      </c>
      <c r="B87" s="3">
        <v>17.484999999999999</v>
      </c>
      <c r="C87" s="3">
        <v>12.573510000000001</v>
      </c>
      <c r="D87" s="3">
        <f>'Spices 2012-13'!AB34</f>
        <v>17.489999999999998</v>
      </c>
      <c r="E87" s="3">
        <f>'Spices 2012-13'!AC34</f>
        <v>12.620999999999999</v>
      </c>
    </row>
    <row r="88" spans="1:5" ht="16.5" customHeight="1" x14ac:dyDescent="0.2">
      <c r="A88" s="21" t="s">
        <v>134</v>
      </c>
      <c r="B88" s="3">
        <v>200.27900000000002</v>
      </c>
      <c r="C88" s="3">
        <v>40.621680000000005</v>
      </c>
      <c r="D88" s="3">
        <f>'Spices 2012-13'!B34</f>
        <v>124.60000000000001</v>
      </c>
      <c r="E88" s="3">
        <f>'Spices 2012-13'!C34</f>
        <v>52.610099999999989</v>
      </c>
    </row>
    <row r="89" spans="1:5" ht="16.5" customHeight="1" x14ac:dyDescent="0.2">
      <c r="A89" s="21" t="s">
        <v>171</v>
      </c>
      <c r="B89" s="3">
        <v>7.0949999999999998</v>
      </c>
      <c r="C89" s="3">
        <v>1.0742099999999999</v>
      </c>
      <c r="D89" s="3">
        <f>'Spices 2012-13'!AH34</f>
        <v>7.1</v>
      </c>
      <c r="E89" s="3">
        <f>'Spices 2012-13'!AI34</f>
        <v>1.07</v>
      </c>
    </row>
    <row r="90" spans="1:5" ht="16.5" customHeight="1" x14ac:dyDescent="0.2">
      <c r="A90" s="21" t="s">
        <v>145</v>
      </c>
      <c r="B90" s="3">
        <v>58.427999999999997</v>
      </c>
      <c r="C90" s="3">
        <v>202.57400000000001</v>
      </c>
      <c r="D90" s="3">
        <f>'Spices 2012-13'!AF34</f>
        <v>58.110000000000007</v>
      </c>
      <c r="E90" s="3">
        <f>'Spices 2012-13'!AG34</f>
        <v>201.82</v>
      </c>
    </row>
    <row r="91" spans="1:5" ht="16.5" customHeight="1" x14ac:dyDescent="0.2">
      <c r="A91" s="21" t="s">
        <v>136</v>
      </c>
      <c r="B91" s="3">
        <v>218.64599999999999</v>
      </c>
      <c r="C91" s="3">
        <v>1166.8431999999996</v>
      </c>
      <c r="D91" s="3">
        <f>'Spices 2012-13'!H34</f>
        <v>194.23000000000002</v>
      </c>
      <c r="E91" s="3">
        <f>'Spices 2012-13'!I34</f>
        <v>971.09</v>
      </c>
    </row>
    <row r="92" spans="1:5" ht="16.5" customHeight="1" x14ac:dyDescent="0.2">
      <c r="A92" s="22" t="s">
        <v>172</v>
      </c>
      <c r="B92" s="4">
        <f>B75+B76+B77+B78+B79+B80+B81+B82+B83+B84+B85+B86+B87+B88+B89+B90+B91</f>
        <v>3212.471</v>
      </c>
      <c r="C92" s="4">
        <f>C75+C76+C77+C78+C79+C80+C81+C82+C83+C84+C85+C86+C87+C88+C89+C90+C91</f>
        <v>5951.4579999999996</v>
      </c>
      <c r="D92" s="4">
        <f>SUM(D75:D91)</f>
        <v>3075.8989999999999</v>
      </c>
      <c r="E92" s="4">
        <f>SUM(E75:E91)</f>
        <v>5743.5240999999996</v>
      </c>
    </row>
    <row r="93" spans="1:5" ht="16.5" customHeight="1" thickBot="1" x14ac:dyDescent="0.25">
      <c r="A93" s="23" t="s">
        <v>55</v>
      </c>
      <c r="B93" s="8">
        <f>B36+B59+B61+B65+B72+B92</f>
        <v>23242.160010000003</v>
      </c>
      <c r="C93" s="8">
        <f>C36+C59+C61+C65+C72+C92</f>
        <v>257276.5704</v>
      </c>
      <c r="D93" s="8">
        <f>D36+D59+D61+D65+D72+D92</f>
        <v>23694.144639999999</v>
      </c>
      <c r="E93" s="8">
        <f>E36+E59+E61+E65+E72+E92</f>
        <v>268847.45347999997</v>
      </c>
    </row>
    <row r="94" spans="1:5" ht="16.5" customHeight="1" x14ac:dyDescent="0.2">
      <c r="A94" s="5" t="s">
        <v>200</v>
      </c>
      <c r="B94" s="7"/>
      <c r="C94" s="7"/>
    </row>
    <row r="95" spans="1:5" ht="16.5" customHeight="1" x14ac:dyDescent="0.2">
      <c r="A95" s="6" t="s">
        <v>180</v>
      </c>
      <c r="B95" s="7"/>
      <c r="C95" s="7"/>
    </row>
  </sheetData>
  <mergeCells count="7">
    <mergeCell ref="A2:E2"/>
    <mergeCell ref="A3:E3"/>
    <mergeCell ref="A1:E1"/>
    <mergeCell ref="B4:C4"/>
    <mergeCell ref="B5:C5"/>
    <mergeCell ref="D5:E5"/>
    <mergeCell ref="D4:E4"/>
  </mergeCells>
  <phoneticPr fontId="24" type="noConversion"/>
  <pageMargins left="0.94" right="0.18" top="1" bottom="1" header="0.5" footer="0.5"/>
  <pageSetup scale="65" orientation="portrait" verticalDpi="300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Normal="100" workbookViewId="0">
      <pane xSplit="1" ySplit="6" topLeftCell="B46" activePane="bottomRight" state="frozen"/>
      <selection pane="topRight" activeCell="B1" sqref="B1"/>
      <selection pane="bottomLeft" activeCell="A4" sqref="A4"/>
      <selection pane="bottomRight" activeCell="C59" sqref="C59"/>
    </sheetView>
  </sheetViews>
  <sheetFormatPr defaultRowHeight="14.25" customHeight="1" x14ac:dyDescent="0.2"/>
  <cols>
    <col min="1" max="1" width="20.42578125" style="50" customWidth="1"/>
    <col min="2" max="2" width="8.7109375" style="50" customWidth="1"/>
    <col min="3" max="3" width="8.42578125" style="50" customWidth="1"/>
    <col min="4" max="5" width="9.7109375" style="50" customWidth="1"/>
    <col min="6" max="8" width="8.7109375" style="50" customWidth="1"/>
    <col min="9" max="9" width="8.5703125" style="50" customWidth="1"/>
    <col min="10" max="10" width="8.42578125" style="50" customWidth="1"/>
    <col min="11" max="11" width="8.7109375" style="50" customWidth="1"/>
    <col min="12" max="12" width="8.5703125" style="50" customWidth="1"/>
    <col min="13" max="14" width="9.7109375" style="50" customWidth="1"/>
    <col min="15" max="15" width="10" style="50" bestFit="1" customWidth="1"/>
    <col min="16" max="16" width="9.5703125" style="50" bestFit="1" customWidth="1"/>
    <col min="17" max="16384" width="9.140625" style="50"/>
  </cols>
  <sheetData>
    <row r="1" spans="1:16" ht="22.5" customHeight="1" x14ac:dyDescent="0.25">
      <c r="A1" s="102" t="s">
        <v>237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4.25" customHeight="1" x14ac:dyDescent="0.2">
      <c r="A2" s="103" t="s">
        <v>238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4.25" customHeight="1" x14ac:dyDescent="0.2">
      <c r="A3" s="104" t="s">
        <v>239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33" customFormat="1" ht="14.25" customHeight="1" x14ac:dyDescent="0.2">
      <c r="A4" s="34" t="s">
        <v>50</v>
      </c>
      <c r="B4" s="98" t="s">
        <v>60</v>
      </c>
      <c r="C4" s="100"/>
      <c r="D4" s="99" t="s">
        <v>61</v>
      </c>
      <c r="E4" s="99"/>
      <c r="F4" s="99" t="s">
        <v>62</v>
      </c>
      <c r="G4" s="99"/>
      <c r="H4" s="99"/>
      <c r="I4" s="99" t="s">
        <v>63</v>
      </c>
      <c r="J4" s="99"/>
      <c r="K4" s="99" t="s">
        <v>64</v>
      </c>
      <c r="L4" s="99"/>
      <c r="M4" s="100" t="s">
        <v>173</v>
      </c>
      <c r="N4" s="100"/>
      <c r="O4" s="101" t="s">
        <v>9</v>
      </c>
      <c r="P4" s="99"/>
    </row>
    <row r="5" spans="1:16" s="33" customFormat="1" ht="14.25" customHeight="1" x14ac:dyDescent="0.2">
      <c r="A5" s="35"/>
      <c r="B5" s="36" t="s">
        <v>49</v>
      </c>
      <c r="C5" s="35" t="s">
        <v>10</v>
      </c>
      <c r="D5" s="35" t="s">
        <v>49</v>
      </c>
      <c r="E5" s="35" t="s">
        <v>10</v>
      </c>
      <c r="F5" s="35" t="s">
        <v>49</v>
      </c>
      <c r="G5" s="97" t="s">
        <v>10</v>
      </c>
      <c r="H5" s="98"/>
      <c r="I5" s="35" t="s">
        <v>49</v>
      </c>
      <c r="J5" s="35" t="s">
        <v>10</v>
      </c>
      <c r="K5" s="35" t="s">
        <v>49</v>
      </c>
      <c r="L5" s="35" t="s">
        <v>10</v>
      </c>
      <c r="M5" s="35" t="s">
        <v>49</v>
      </c>
      <c r="N5" s="35" t="s">
        <v>10</v>
      </c>
      <c r="O5" s="35" t="s">
        <v>49</v>
      </c>
      <c r="P5" s="35" t="s">
        <v>10</v>
      </c>
    </row>
    <row r="6" spans="1:16" s="33" customFormat="1" ht="14.25" customHeight="1" x14ac:dyDescent="0.2">
      <c r="A6" s="35"/>
      <c r="B6" s="37"/>
      <c r="C6" s="38"/>
      <c r="D6" s="38"/>
      <c r="E6" s="38"/>
      <c r="F6" s="38"/>
      <c r="G6" s="39" t="s">
        <v>65</v>
      </c>
      <c r="H6" s="39" t="s">
        <v>66</v>
      </c>
      <c r="I6" s="38"/>
      <c r="J6" s="38"/>
      <c r="K6" s="38"/>
      <c r="L6" s="38"/>
      <c r="M6" s="38" t="s">
        <v>39</v>
      </c>
      <c r="N6" s="38"/>
      <c r="O6" s="40"/>
      <c r="P6" s="41"/>
    </row>
    <row r="7" spans="1:16" s="33" customFormat="1" ht="14.25" customHeight="1" x14ac:dyDescent="0.2">
      <c r="A7" s="42" t="s">
        <v>56</v>
      </c>
      <c r="B7" s="43">
        <f>'Fruits 2012-13'!BB3</f>
        <v>3.2450000000000006</v>
      </c>
      <c r="C7" s="43">
        <f>'Fruits 2012-13'!BC3</f>
        <v>30.730000000000004</v>
      </c>
      <c r="D7" s="43">
        <f>'Vegetables 2012-13'!AT3</f>
        <v>6.3620000000000001</v>
      </c>
      <c r="E7" s="43">
        <f>'Vegetables 2012-13'!AU3</f>
        <v>44.158000000000001</v>
      </c>
      <c r="F7" s="43">
        <f>'Flowers 2012-13'!AL4</f>
        <v>0.04</v>
      </c>
      <c r="G7" s="43">
        <f>'Flowers 2012-13'!AM4</f>
        <v>0.35</v>
      </c>
      <c r="H7" s="43">
        <f>'Flowers 2012-13'!AN4</f>
        <v>0</v>
      </c>
      <c r="I7" s="43">
        <v>0</v>
      </c>
      <c r="J7" s="43">
        <v>0</v>
      </c>
      <c r="K7" s="43">
        <f>'Spices 2012-13'!AJ3</f>
        <v>1.7349999999999999</v>
      </c>
      <c r="L7" s="43">
        <f>'Spices 2012-13'!AK3</f>
        <v>3.57</v>
      </c>
      <c r="M7" s="43">
        <f>'Plantations 2012-13'!J3</f>
        <v>27.31</v>
      </c>
      <c r="N7" s="43">
        <f>'Plantations 2012-13'!K3</f>
        <v>95.710000000000008</v>
      </c>
      <c r="O7" s="44">
        <f>B7+D7+F7+I7+K7+M7</f>
        <v>38.692</v>
      </c>
      <c r="P7" s="44">
        <f>C7+E7+G7+J7+L7+N7</f>
        <v>174.518</v>
      </c>
    </row>
    <row r="8" spans="1:16" s="33" customFormat="1" ht="14.25" customHeight="1" x14ac:dyDescent="0.2">
      <c r="A8" s="42" t="s">
        <v>12</v>
      </c>
      <c r="B8" s="43">
        <f>'Fruits 2012-13'!BB4</f>
        <v>940.74400000000014</v>
      </c>
      <c r="C8" s="43">
        <f>'Fruits 2012-13'!BC4</f>
        <v>13939.078</v>
      </c>
      <c r="D8" s="43">
        <f>'Vegetables 2012-13'!AT4</f>
        <v>686.08199999999999</v>
      </c>
      <c r="E8" s="43">
        <f>'Vegetables 2012-13'!AU4</f>
        <v>12104.652</v>
      </c>
      <c r="F8" s="43">
        <f>'Flowers 2012-13'!AL5</f>
        <v>34.85</v>
      </c>
      <c r="G8" s="43">
        <f>'Flowers 2012-13'!AM5</f>
        <v>224.40599999999998</v>
      </c>
      <c r="H8" s="43">
        <f>'Flowers 2012-13'!AN5</f>
        <v>6909</v>
      </c>
      <c r="I8" s="43">
        <v>0.29099999999999998</v>
      </c>
      <c r="J8" s="43">
        <v>4.3630000000000004</v>
      </c>
      <c r="K8" s="43">
        <f>'Spices 2012-13'!AJ4</f>
        <v>312.61999999999995</v>
      </c>
      <c r="L8" s="43">
        <f>'Spices 2012-13'!AK4</f>
        <v>1187.6811000000002</v>
      </c>
      <c r="M8" s="43">
        <f>'Plantations 2012-13'!J4</f>
        <v>334.137</v>
      </c>
      <c r="N8" s="43">
        <f>'Plantations 2012-13'!K4</f>
        <v>1452.97</v>
      </c>
      <c r="O8" s="44">
        <f t="shared" ref="O8:O40" si="0">B8+D8+F8+I8+K8+M8</f>
        <v>2308.7239999999997</v>
      </c>
      <c r="P8" s="44">
        <f t="shared" ref="P8:P40" si="1">C8+E8+G8+J8+L8+N8</f>
        <v>28913.150100000003</v>
      </c>
    </row>
    <row r="9" spans="1:16" s="33" customFormat="1" ht="14.25" customHeight="1" x14ac:dyDescent="0.2">
      <c r="A9" s="42" t="s">
        <v>13</v>
      </c>
      <c r="B9" s="43">
        <f>'Fruits 2012-13'!BB5</f>
        <v>86.861999999999995</v>
      </c>
      <c r="C9" s="43">
        <f>'Fruits 2012-13'!BC5</f>
        <v>312.24249999999995</v>
      </c>
      <c r="D9" s="43">
        <f>'Vegetables 2012-13'!AT5</f>
        <v>1.52</v>
      </c>
      <c r="E9" s="43">
        <f>'Vegetables 2012-13'!AU5</f>
        <v>37.559999999999995</v>
      </c>
      <c r="F9" s="43">
        <f>'Flowers 2012-13'!AL6</f>
        <v>2.3099999999999999E-2</v>
      </c>
      <c r="G9" s="43">
        <f>'Flowers 2012-13'!AM6</f>
        <v>9.7999999999999997E-3</v>
      </c>
      <c r="H9" s="43">
        <f>'Flowers 2012-13'!AN6</f>
        <v>297</v>
      </c>
      <c r="I9" s="43">
        <v>5.1479999999999997</v>
      </c>
      <c r="J9" s="43">
        <v>109.178</v>
      </c>
      <c r="K9" s="43">
        <f>'Spices 2012-13'!AJ5</f>
        <v>10.17</v>
      </c>
      <c r="L9" s="43">
        <f>'Spices 2012-13'!AK5</f>
        <v>64.27000000000001</v>
      </c>
      <c r="M9" s="43">
        <f>'Plantations 2012-13'!J5</f>
        <v>0</v>
      </c>
      <c r="N9" s="43">
        <f>'Plantations 2012-13'!K5</f>
        <v>0</v>
      </c>
      <c r="O9" s="44">
        <f t="shared" si="0"/>
        <v>103.72309999999999</v>
      </c>
      <c r="P9" s="44">
        <f t="shared" si="1"/>
        <v>523.26029999999992</v>
      </c>
    </row>
    <row r="10" spans="1:16" s="33" customFormat="1" ht="14.25" customHeight="1" x14ac:dyDescent="0.2">
      <c r="A10" s="42" t="s">
        <v>14</v>
      </c>
      <c r="B10" s="43">
        <f>'Fruits 2012-13'!BB6</f>
        <v>150.70699999999999</v>
      </c>
      <c r="C10" s="43">
        <f>'Fruits 2012-13'!BC6</f>
        <v>2073.819</v>
      </c>
      <c r="D10" s="43">
        <f>'Vegetables 2012-13'!AT6</f>
        <v>278.74400000000003</v>
      </c>
      <c r="E10" s="43">
        <f>'Vegetables 2012-13'!AU6</f>
        <v>3415.0729999999999</v>
      </c>
      <c r="F10" s="43">
        <f>'Flowers 2012-13'!AL7</f>
        <v>1.8</v>
      </c>
      <c r="G10" s="43">
        <f>'Flowers 2012-13'!AM7</f>
        <v>11.7</v>
      </c>
      <c r="H10" s="43">
        <f>'Flowers 2012-13'!AN7</f>
        <v>3750</v>
      </c>
      <c r="I10" s="43">
        <v>0</v>
      </c>
      <c r="J10" s="43">
        <v>0</v>
      </c>
      <c r="K10" s="43">
        <f>'Spices 2012-13'!AJ6</f>
        <v>96.658999999999992</v>
      </c>
      <c r="L10" s="43">
        <f>'Spices 2012-13'!AK6</f>
        <v>287.50000000000006</v>
      </c>
      <c r="M10" s="43">
        <f>'Plantations 2012-13'!J6</f>
        <v>98.114000000000004</v>
      </c>
      <c r="N10" s="43">
        <f>'Plantations 2012-13'!K6</f>
        <v>183.35899999999998</v>
      </c>
      <c r="O10" s="44">
        <f t="shared" si="0"/>
        <v>626.02400000000011</v>
      </c>
      <c r="P10" s="44">
        <f t="shared" si="1"/>
        <v>5971.451</v>
      </c>
    </row>
    <row r="11" spans="1:16" s="33" customFormat="1" ht="14.25" customHeight="1" x14ac:dyDescent="0.2">
      <c r="A11" s="42" t="s">
        <v>15</v>
      </c>
      <c r="B11" s="43">
        <f>'Fruits 2012-13'!BB7</f>
        <v>301.45399999999995</v>
      </c>
      <c r="C11" s="43">
        <f>'Fruits 2012-13'!BC7</f>
        <v>4249.1860000000006</v>
      </c>
      <c r="D11" s="43">
        <f>'Vegetables 2012-13'!AT7</f>
        <v>861.7940000000001</v>
      </c>
      <c r="E11" s="43">
        <f>'Vegetables 2012-13'!AU7</f>
        <v>16325.675000000003</v>
      </c>
      <c r="F11" s="43">
        <f>'Flowers 2012-13'!AL8</f>
        <v>1.02</v>
      </c>
      <c r="G11" s="43">
        <f>'Flowers 2012-13'!AM8</f>
        <v>10.151999999999999</v>
      </c>
      <c r="H11" s="43">
        <f>'Flowers 2012-13'!AN8</f>
        <v>324</v>
      </c>
      <c r="I11" s="43">
        <v>3.82</v>
      </c>
      <c r="J11" s="43">
        <v>0.497</v>
      </c>
      <c r="K11" s="43">
        <f>'Spices 2012-13'!AJ7</f>
        <v>13.010000000000002</v>
      </c>
      <c r="L11" s="43">
        <f>'Spices 2012-13'!AK7</f>
        <v>12.54</v>
      </c>
      <c r="M11" s="43">
        <f>'Plantations 2012-13'!J7</f>
        <v>15.246</v>
      </c>
      <c r="N11" s="43">
        <f>'Plantations 2012-13'!K7</f>
        <v>97.135000000000005</v>
      </c>
      <c r="O11" s="44">
        <f t="shared" si="0"/>
        <v>1196.3440000000001</v>
      </c>
      <c r="P11" s="44">
        <f t="shared" si="1"/>
        <v>20695.185000000001</v>
      </c>
    </row>
    <row r="12" spans="1:16" s="33" customFormat="1" ht="14.25" customHeight="1" x14ac:dyDescent="0.2">
      <c r="A12" s="42" t="s">
        <v>57</v>
      </c>
      <c r="B12" s="43">
        <f>'Fruits 2012-13'!BB8</f>
        <v>195.61</v>
      </c>
      <c r="C12" s="43">
        <f>'Fruits 2012-13'!BC8</f>
        <v>1702.3199999999997</v>
      </c>
      <c r="D12" s="43">
        <f>'Vegetables 2012-13'!AT8</f>
        <v>380.65999999999997</v>
      </c>
      <c r="E12" s="43">
        <f>'Vegetables 2012-13'!AU8</f>
        <v>4993.8500000000004</v>
      </c>
      <c r="F12" s="43">
        <f>'Flowers 2012-13'!AL9</f>
        <v>9.7899999999999991</v>
      </c>
      <c r="G12" s="43">
        <f>'Flowers 2012-13'!AM9</f>
        <v>37.749999999999993</v>
      </c>
      <c r="H12" s="43">
        <f>'Flowers 2012-13'!AN9</f>
        <v>0</v>
      </c>
      <c r="I12" s="43">
        <v>10.27</v>
      </c>
      <c r="J12" s="43">
        <v>60.28</v>
      </c>
      <c r="K12" s="43">
        <f>'Spices 2012-13'!AJ8</f>
        <v>12.307</v>
      </c>
      <c r="L12" s="43">
        <f>'Spices 2012-13'!AK8</f>
        <v>15.370000000000001</v>
      </c>
      <c r="M12" s="43">
        <f>'Plantations 2012-13'!J8</f>
        <v>14.91</v>
      </c>
      <c r="N12" s="43">
        <f>'Plantations 2012-13'!K8</f>
        <v>17.47</v>
      </c>
      <c r="O12" s="44">
        <f t="shared" si="0"/>
        <v>623.54699999999991</v>
      </c>
      <c r="P12" s="44">
        <f t="shared" si="1"/>
        <v>6827.04</v>
      </c>
    </row>
    <row r="13" spans="1:16" s="33" customFormat="1" ht="14.25" customHeight="1" x14ac:dyDescent="0.2">
      <c r="A13" s="42" t="s">
        <v>16</v>
      </c>
      <c r="B13" s="43">
        <v>0</v>
      </c>
      <c r="C13" s="43">
        <v>0</v>
      </c>
      <c r="D13" s="43">
        <f>'Vegetables 2012-13'!AT9</f>
        <v>1.1000000000000001</v>
      </c>
      <c r="E13" s="43">
        <f>'Vegetables 2012-13'!AU9</f>
        <v>5.5</v>
      </c>
      <c r="F13" s="43">
        <f>'Flowers 2012-13'!AL10</f>
        <v>0</v>
      </c>
      <c r="G13" s="43">
        <f>'Flowers 2012-13'!AM10</f>
        <v>0</v>
      </c>
      <c r="H13" s="43">
        <f>'Flowers 2012-13'!AN10</f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4">
        <f t="shared" si="0"/>
        <v>1.1000000000000001</v>
      </c>
      <c r="P13" s="44">
        <f t="shared" si="1"/>
        <v>5.5</v>
      </c>
    </row>
    <row r="14" spans="1:16" s="33" customFormat="1" ht="14.25" customHeight="1" x14ac:dyDescent="0.2">
      <c r="A14" s="42" t="s">
        <v>17</v>
      </c>
      <c r="B14" s="43">
        <v>0</v>
      </c>
      <c r="C14" s="43">
        <v>0</v>
      </c>
      <c r="D14" s="43">
        <v>0</v>
      </c>
      <c r="E14" s="43">
        <v>0</v>
      </c>
      <c r="F14" s="43">
        <f>'Flowers 2012-13'!AL11</f>
        <v>0</v>
      </c>
      <c r="G14" s="43">
        <f>'Flowers 2012-13'!AM11</f>
        <v>0</v>
      </c>
      <c r="H14" s="43">
        <f>'Flowers 2012-13'!AN11</f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4">
        <f t="shared" si="0"/>
        <v>0</v>
      </c>
      <c r="P14" s="44">
        <f t="shared" si="1"/>
        <v>0</v>
      </c>
    </row>
    <row r="15" spans="1:16" s="33" customFormat="1" ht="14.25" customHeight="1" x14ac:dyDescent="0.2">
      <c r="A15" s="42" t="s">
        <v>18</v>
      </c>
      <c r="B15" s="43">
        <v>0</v>
      </c>
      <c r="C15" s="43">
        <v>0</v>
      </c>
      <c r="D15" s="43">
        <f>'Vegetables 2012-13'!AT11</f>
        <v>27.922000000000001</v>
      </c>
      <c r="E15" s="43">
        <f>'Vegetables 2012-13'!AU11</f>
        <v>439.31999999999994</v>
      </c>
      <c r="F15" s="43">
        <f>'Flowers 2012-13'!AL12</f>
        <v>5.5</v>
      </c>
      <c r="G15" s="43">
        <f>'Flowers 2012-13'!AM12</f>
        <v>5.7</v>
      </c>
      <c r="H15" s="43">
        <f>'Flowers 2012-13'!AN12</f>
        <v>1038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4">
        <f t="shared" si="0"/>
        <v>33.421999999999997</v>
      </c>
      <c r="P15" s="44">
        <f t="shared" si="1"/>
        <v>445.01999999999992</v>
      </c>
    </row>
    <row r="16" spans="1:16" s="33" customFormat="1" ht="14.25" customHeight="1" x14ac:dyDescent="0.2">
      <c r="A16" s="42" t="s">
        <v>19</v>
      </c>
      <c r="B16" s="43">
        <f>'Fruits 2012-13'!BB12</f>
        <v>11.162999999999998</v>
      </c>
      <c r="C16" s="43">
        <f>'Fruits 2012-13'!BC12</f>
        <v>80.902999999999992</v>
      </c>
      <c r="D16" s="43">
        <f>'Vegetables 2012-13'!AT12</f>
        <v>6.6449999999999996</v>
      </c>
      <c r="E16" s="43">
        <f>'Vegetables 2012-13'!AU12</f>
        <v>80.510999999999996</v>
      </c>
      <c r="F16" s="43">
        <f>'Flowers 2012-13'!AL13</f>
        <v>0</v>
      </c>
      <c r="G16" s="43">
        <f>'Flowers 2012-13'!AM13</f>
        <v>0</v>
      </c>
      <c r="H16" s="43">
        <f>'Flowers 2012-13'!AN13</f>
        <v>0</v>
      </c>
      <c r="I16" s="43">
        <v>0</v>
      </c>
      <c r="J16" s="43">
        <v>0</v>
      </c>
      <c r="K16" s="43">
        <f>'Spices 2012-13'!AJ9</f>
        <v>0.73</v>
      </c>
      <c r="L16" s="43">
        <f>'Spices 2012-13'!AK9</f>
        <v>0.23</v>
      </c>
      <c r="M16" s="43">
        <f>'Plantations 2012-13'!J12</f>
        <v>84.911999999999992</v>
      </c>
      <c r="N16" s="43">
        <f>'Plantations 2012-13'!K12</f>
        <v>117.26499999999999</v>
      </c>
      <c r="O16" s="44">
        <f t="shared" si="0"/>
        <v>103.44999999999999</v>
      </c>
      <c r="P16" s="44">
        <f t="shared" si="1"/>
        <v>278.90899999999999</v>
      </c>
    </row>
    <row r="17" spans="1:16" s="33" customFormat="1" ht="14.25" customHeight="1" x14ac:dyDescent="0.2">
      <c r="A17" s="42" t="s">
        <v>20</v>
      </c>
      <c r="B17" s="43">
        <f>'Fruits 2012-13'!BB13</f>
        <v>381.5</v>
      </c>
      <c r="C17" s="43">
        <f>'Fruits 2012-13'!BC13</f>
        <v>8413.17</v>
      </c>
      <c r="D17" s="43">
        <f>'Vegetables 2012-13'!AT13</f>
        <v>537.64</v>
      </c>
      <c r="E17" s="43">
        <f>'Vegetables 2012-13'!AU13</f>
        <v>10520.689999999999</v>
      </c>
      <c r="F17" s="43">
        <f>'Flowers 2012-13'!AL14</f>
        <v>17.27</v>
      </c>
      <c r="G17" s="43">
        <f>'Flowers 2012-13'!AM14</f>
        <v>149.27000000000001</v>
      </c>
      <c r="H17" s="43">
        <f>'Flowers 2012-13'!AN14</f>
        <v>0</v>
      </c>
      <c r="I17" s="43">
        <v>0</v>
      </c>
      <c r="J17" s="43">
        <v>0</v>
      </c>
      <c r="K17" s="43">
        <f>'Spices 2012-13'!AJ10</f>
        <v>551.67499999999995</v>
      </c>
      <c r="L17" s="43">
        <f>'Spices 2012-13'!AK10</f>
        <v>882.1400000000001</v>
      </c>
      <c r="M17" s="43">
        <f>'Plantations 2012-13'!J13</f>
        <v>29.09</v>
      </c>
      <c r="N17" s="43">
        <f>'Plantations 2012-13'!K13</f>
        <v>246.4</v>
      </c>
      <c r="O17" s="44">
        <f t="shared" si="0"/>
        <v>1517.175</v>
      </c>
      <c r="P17" s="44">
        <f t="shared" si="1"/>
        <v>20211.670000000002</v>
      </c>
    </row>
    <row r="18" spans="1:16" s="33" customFormat="1" ht="14.25" customHeight="1" x14ac:dyDescent="0.2">
      <c r="A18" s="42" t="s">
        <v>21</v>
      </c>
      <c r="B18" s="43">
        <f>'Fruits 2012-13'!BB14</f>
        <v>49.53</v>
      </c>
      <c r="C18" s="43">
        <f>'Fruits 2012-13'!BC14</f>
        <v>516.06999999999994</v>
      </c>
      <c r="D18" s="43">
        <f>'Vegetables 2012-13'!AT14</f>
        <v>360.33000000000004</v>
      </c>
      <c r="E18" s="43">
        <f>'Vegetables 2012-13'!AU14</f>
        <v>5011.3099999999995</v>
      </c>
      <c r="F18" s="43">
        <f>'Flowers 2012-13'!AL15</f>
        <v>6.4660000000000011</v>
      </c>
      <c r="G18" s="43">
        <f>'Flowers 2012-13'!AM15</f>
        <v>64.72</v>
      </c>
      <c r="H18" s="43">
        <f>'Flowers 2012-13'!AN15</f>
        <v>1270.5800000000002</v>
      </c>
      <c r="I18" s="43">
        <v>1.75</v>
      </c>
      <c r="J18" s="43">
        <v>1.135</v>
      </c>
      <c r="K18" s="43">
        <f>'Spices 2012-13'!AJ11</f>
        <v>16.125</v>
      </c>
      <c r="L18" s="43">
        <f>'Spices 2012-13'!AK11</f>
        <v>82.82</v>
      </c>
      <c r="M18" s="43">
        <v>0</v>
      </c>
      <c r="N18" s="43">
        <v>0</v>
      </c>
      <c r="O18" s="44">
        <f t="shared" si="0"/>
        <v>434.20100000000002</v>
      </c>
      <c r="P18" s="44">
        <f t="shared" si="1"/>
        <v>5676.0549999999994</v>
      </c>
    </row>
    <row r="19" spans="1:16" s="33" customFormat="1" ht="14.25" customHeight="1" x14ac:dyDescent="0.2">
      <c r="A19" s="42" t="s">
        <v>22</v>
      </c>
      <c r="B19" s="43">
        <f>'Fruits 2012-13'!BB15</f>
        <v>218.02999999999997</v>
      </c>
      <c r="C19" s="43">
        <f>'Fruits 2012-13'!BC15</f>
        <v>555.70799999999997</v>
      </c>
      <c r="D19" s="43">
        <f>'Vegetables 2012-13'!AT15</f>
        <v>79.460999999999999</v>
      </c>
      <c r="E19" s="43">
        <f>'Vegetables 2012-13'!AU15</f>
        <v>1521.1320000000001</v>
      </c>
      <c r="F19" s="43">
        <f>'Flowers 2012-13'!AL16</f>
        <v>0.91399999999999992</v>
      </c>
      <c r="G19" s="43">
        <f>'Flowers 2012-13'!AM16</f>
        <v>37.707000000000001</v>
      </c>
      <c r="H19" s="43">
        <f>'Flowers 2012-13'!AN16</f>
        <v>1760.3</v>
      </c>
      <c r="I19" s="43">
        <v>0</v>
      </c>
      <c r="J19" s="43">
        <v>0</v>
      </c>
      <c r="K19" s="43">
        <f>'Spices 2012-13'!AJ12</f>
        <v>7.298</v>
      </c>
      <c r="L19" s="43">
        <f>'Spices 2012-13'!AK12</f>
        <v>10.260000000000002</v>
      </c>
      <c r="M19" s="43">
        <v>0</v>
      </c>
      <c r="N19" s="43">
        <v>0</v>
      </c>
      <c r="O19" s="44">
        <f t="shared" si="0"/>
        <v>305.70299999999997</v>
      </c>
      <c r="P19" s="44">
        <f t="shared" si="1"/>
        <v>2124.8070000000002</v>
      </c>
    </row>
    <row r="20" spans="1:16" s="33" customFormat="1" ht="14.25" customHeight="1" x14ac:dyDescent="0.2">
      <c r="A20" s="42" t="s">
        <v>23</v>
      </c>
      <c r="B20" s="43">
        <f>'Fruits 2012-13'!BB16</f>
        <v>347.2229999999999</v>
      </c>
      <c r="C20" s="43">
        <f>'Fruits 2012-13'!BC16</f>
        <v>1742.1419999999998</v>
      </c>
      <c r="D20" s="43">
        <f>'Vegetables 2012-13'!AT16</f>
        <v>63.056999999999988</v>
      </c>
      <c r="E20" s="43">
        <f>'Vegetables 2012-13'!AU16</f>
        <v>1395.4720000000002</v>
      </c>
      <c r="F20" s="43">
        <f>'Flowers 2012-13'!AL17</f>
        <v>0.85389999999999988</v>
      </c>
      <c r="G20" s="43">
        <f>'Flowers 2012-13'!AM17</f>
        <v>0.40223999999999999</v>
      </c>
      <c r="H20" s="43">
        <f>'Flowers 2012-13'!AN17</f>
        <v>222.095</v>
      </c>
      <c r="I20" s="43">
        <v>0</v>
      </c>
      <c r="J20" s="43">
        <v>0</v>
      </c>
      <c r="K20" s="43">
        <f>'Spices 2012-13'!AJ13</f>
        <v>4.1440000000000001</v>
      </c>
      <c r="L20" s="43">
        <f>'Spices 2012-13'!AK13</f>
        <v>1.07</v>
      </c>
      <c r="M20" s="43">
        <v>0</v>
      </c>
      <c r="N20" s="43">
        <v>0</v>
      </c>
      <c r="O20" s="44">
        <f t="shared" si="0"/>
        <v>415.27789999999987</v>
      </c>
      <c r="P20" s="44">
        <f t="shared" si="1"/>
        <v>3139.0862400000001</v>
      </c>
    </row>
    <row r="21" spans="1:16" s="33" customFormat="1" ht="14.25" customHeight="1" x14ac:dyDescent="0.2">
      <c r="A21" s="42" t="s">
        <v>24</v>
      </c>
      <c r="B21" s="43">
        <f>'Fruits 2012-13'!BB17</f>
        <v>93.012000000000015</v>
      </c>
      <c r="C21" s="43">
        <f>'Fruits 2012-13'!BC17</f>
        <v>889.73700000000008</v>
      </c>
      <c r="D21" s="43">
        <f>'Vegetables 2012-13'!AT17</f>
        <v>321.46199999999999</v>
      </c>
      <c r="E21" s="43">
        <f>'Vegetables 2012-13'!AU17</f>
        <v>4325.3780000000006</v>
      </c>
      <c r="F21" s="43">
        <f>'Flowers 2012-13'!AL18</f>
        <v>1.6</v>
      </c>
      <c r="G21" s="43">
        <f>'Flowers 2012-13'!AM18</f>
        <v>22.026</v>
      </c>
      <c r="H21" s="43">
        <f>'Flowers 2012-13'!AN18</f>
        <v>1711</v>
      </c>
      <c r="I21" s="43">
        <v>0.1</v>
      </c>
      <c r="J21" s="43">
        <v>0</v>
      </c>
      <c r="K21" s="43">
        <v>0</v>
      </c>
      <c r="L21" s="43">
        <v>0</v>
      </c>
      <c r="M21" s="43">
        <f>'Plantations 2012-13'!J17</f>
        <v>11.5</v>
      </c>
      <c r="N21" s="43">
        <f>'Plantations 2012-13'!K17</f>
        <v>4.6399999999999997</v>
      </c>
      <c r="O21" s="44">
        <f t="shared" si="0"/>
        <v>427.67400000000004</v>
      </c>
      <c r="P21" s="44">
        <f t="shared" si="1"/>
        <v>5241.7810000000009</v>
      </c>
    </row>
    <row r="22" spans="1:16" s="33" customFormat="1" ht="14.25" customHeight="1" x14ac:dyDescent="0.2">
      <c r="A22" s="42" t="s">
        <v>25</v>
      </c>
      <c r="B22" s="43">
        <f>'Fruits 2012-13'!BB18</f>
        <v>388.20000000000005</v>
      </c>
      <c r="C22" s="43">
        <f>'Fruits 2012-13'!BC18</f>
        <v>6619.6</v>
      </c>
      <c r="D22" s="43">
        <f>'Vegetables 2012-13'!AT18</f>
        <v>436.6</v>
      </c>
      <c r="E22" s="43">
        <f>'Vegetables 2012-13'!AU18</f>
        <v>7841.9</v>
      </c>
      <c r="F22" s="43">
        <f>'Flowers 2012-13'!AL19</f>
        <v>29.700000000000003</v>
      </c>
      <c r="G22" s="43">
        <f>'Flowers 2012-13'!AM19</f>
        <v>207.5</v>
      </c>
      <c r="H22" s="43">
        <f>'Flowers 2012-13'!AN19</f>
        <v>9441.7999999999993</v>
      </c>
      <c r="I22" s="43">
        <f>2.381+1.326</f>
        <v>3.7069999999999999</v>
      </c>
      <c r="J22" s="43">
        <f>4.041+17.617</f>
        <v>21.658000000000001</v>
      </c>
      <c r="K22" s="43">
        <f>'Spices 2012-13'!AJ15</f>
        <v>213.75400000000005</v>
      </c>
      <c r="L22" s="43">
        <f>'Spices 2012-13'!AK15</f>
        <v>369.84999999999997</v>
      </c>
      <c r="M22" s="43">
        <f>'Plantations 2012-13'!J18</f>
        <v>867.46299999999997</v>
      </c>
      <c r="N22" s="43">
        <f>'Plantations 2012-13'!K18</f>
        <v>4605.2299999999996</v>
      </c>
      <c r="O22" s="44">
        <f t="shared" si="0"/>
        <v>1939.4240000000002</v>
      </c>
      <c r="P22" s="44">
        <f t="shared" si="1"/>
        <v>19665.737999999998</v>
      </c>
    </row>
    <row r="23" spans="1:16" s="33" customFormat="1" ht="14.25" customHeight="1" x14ac:dyDescent="0.2">
      <c r="A23" s="42" t="s">
        <v>26</v>
      </c>
      <c r="B23" s="43">
        <f>'Fruits 2012-13'!BB19</f>
        <v>314.55700000000002</v>
      </c>
      <c r="C23" s="43">
        <f>'Fruits 2012-13'!BC19</f>
        <v>2583.922</v>
      </c>
      <c r="D23" s="43">
        <f>'Vegetables 2012-13'!AT19</f>
        <v>146.05099999999999</v>
      </c>
      <c r="E23" s="43">
        <f>'Vegetables 2012-13'!AU19</f>
        <v>3446.9139999999998</v>
      </c>
      <c r="F23" s="43">
        <f>'Flowers 2012-13'!AL20</f>
        <v>0</v>
      </c>
      <c r="G23" s="43">
        <f>'Flowers 2012-13'!AM20</f>
        <v>0</v>
      </c>
      <c r="H23" s="43">
        <f>'Flowers 2012-13'!AN20</f>
        <v>0</v>
      </c>
      <c r="I23" s="43">
        <v>0</v>
      </c>
      <c r="J23" s="43">
        <v>0</v>
      </c>
      <c r="K23" s="43">
        <f>'Spices 2012-13'!AJ16</f>
        <v>170.00799999999998</v>
      </c>
      <c r="L23" s="43">
        <f>'Spices 2012-13'!AK16</f>
        <v>128.86099999999999</v>
      </c>
      <c r="M23" s="43">
        <f>'Plantations 2012-13'!J19</f>
        <v>992.125</v>
      </c>
      <c r="N23" s="43">
        <f>'Plantations 2012-13'!K19</f>
        <v>4169.7860000000001</v>
      </c>
      <c r="O23" s="44">
        <f t="shared" si="0"/>
        <v>1622.741</v>
      </c>
      <c r="P23" s="44">
        <f t="shared" si="1"/>
        <v>10329.483</v>
      </c>
    </row>
    <row r="24" spans="1:16" s="33" customFormat="1" ht="14.25" customHeight="1" x14ac:dyDescent="0.2">
      <c r="A24" s="42" t="s">
        <v>58</v>
      </c>
      <c r="B24" s="43">
        <f>'Fruits 2012-13'!BB20</f>
        <v>0.22200000000000003</v>
      </c>
      <c r="C24" s="43">
        <f>'Fruits 2012-13'!BC20</f>
        <v>0.48344999999999999</v>
      </c>
      <c r="D24" s="43">
        <f>'Vegetables 2012-13'!AT20</f>
        <v>0.2505</v>
      </c>
      <c r="E24" s="43">
        <f>'Vegetables 2012-13'!AU20</f>
        <v>0.33059000000000005</v>
      </c>
      <c r="F24" s="43">
        <f>'Flowers 2012-13'!AL21</f>
        <v>0</v>
      </c>
      <c r="G24" s="43">
        <f>'Flowers 2012-13'!AM21</f>
        <v>0</v>
      </c>
      <c r="H24" s="43">
        <f>'Flowers 2012-13'!AN21</f>
        <v>0</v>
      </c>
      <c r="I24" s="43">
        <v>0</v>
      </c>
      <c r="J24" s="43">
        <v>0</v>
      </c>
      <c r="K24" s="43">
        <v>0</v>
      </c>
      <c r="L24" s="43">
        <v>0</v>
      </c>
      <c r="M24" s="43">
        <f>'Plantations 2012-13'!J20</f>
        <v>2.57</v>
      </c>
      <c r="N24" s="43">
        <f>'Plantations 2012-13'!K20</f>
        <v>48.8</v>
      </c>
      <c r="O24" s="44">
        <f t="shared" si="0"/>
        <v>3.0425</v>
      </c>
      <c r="P24" s="44">
        <f t="shared" si="1"/>
        <v>49.614039999999996</v>
      </c>
    </row>
    <row r="25" spans="1:16" s="33" customFormat="1" ht="14.25" customHeight="1" x14ac:dyDescent="0.2">
      <c r="A25" s="42" t="s">
        <v>27</v>
      </c>
      <c r="B25" s="43">
        <f>'Fruits 2012-13'!BB21</f>
        <v>195.35599999999999</v>
      </c>
      <c r="C25" s="43">
        <f>'Fruits 2012-13'!BC21</f>
        <v>5450</v>
      </c>
      <c r="D25" s="43">
        <f>'Vegetables 2012-13'!AT21</f>
        <v>612.76599999999996</v>
      </c>
      <c r="E25" s="43">
        <f>'Vegetables 2012-13'!AU21</f>
        <v>12574</v>
      </c>
      <c r="F25" s="43">
        <f>'Flowers 2012-13'!AL22</f>
        <v>16.515000000000001</v>
      </c>
      <c r="G25" s="43">
        <f>'Flowers 2012-13'!AM22</f>
        <v>193</v>
      </c>
      <c r="H25" s="43">
        <f>'Flowers 2012-13'!AN22</f>
        <v>0</v>
      </c>
      <c r="I25" s="43">
        <v>62.634</v>
      </c>
      <c r="J25" s="43">
        <v>393</v>
      </c>
      <c r="K25" s="43">
        <f>'Spices 2012-13'!AJ17</f>
        <v>299.90999999999997</v>
      </c>
      <c r="L25" s="43">
        <f>'Spices 2012-13'!AK17</f>
        <v>461.16999999999996</v>
      </c>
      <c r="M25" s="43">
        <f>'Plantations 2012-13'!J21</f>
        <v>0</v>
      </c>
      <c r="N25" s="43">
        <f>'Plantations 2012-13'!K21</f>
        <v>0</v>
      </c>
      <c r="O25" s="44">
        <f t="shared" si="0"/>
        <v>1187.181</v>
      </c>
      <c r="P25" s="44">
        <f t="shared" si="1"/>
        <v>19071.169999999998</v>
      </c>
    </row>
    <row r="26" spans="1:16" s="33" customFormat="1" ht="14.25" customHeight="1" x14ac:dyDescent="0.2">
      <c r="A26" s="42" t="s">
        <v>28</v>
      </c>
      <c r="B26" s="43">
        <f>'Fruits 2012-13'!BB22</f>
        <v>1549</v>
      </c>
      <c r="C26" s="43">
        <f>'Fruits 2012-13'!BC22</f>
        <v>9785</v>
      </c>
      <c r="D26" s="43">
        <f>'Vegetables 2012-13'!AT22</f>
        <v>474</v>
      </c>
      <c r="E26" s="43">
        <f>'Vegetables 2012-13'!AU22</f>
        <v>8008</v>
      </c>
      <c r="F26" s="43">
        <f>'Flowers 2012-13'!AL23</f>
        <v>22</v>
      </c>
      <c r="G26" s="43">
        <f>'Flowers 2012-13'!AM23</f>
        <v>119</v>
      </c>
      <c r="H26" s="43">
        <f>'Flowers 2012-13'!AN23</f>
        <v>7914</v>
      </c>
      <c r="I26" s="43">
        <v>0</v>
      </c>
      <c r="J26" s="43">
        <v>0</v>
      </c>
      <c r="K26" s="43">
        <f>'Spices 2012-13'!AJ18</f>
        <v>120.76</v>
      </c>
      <c r="L26" s="43">
        <f>'Spices 2012-13'!AK18</f>
        <v>109.04</v>
      </c>
      <c r="M26" s="43">
        <f>'Plantations 2012-13'!J22</f>
        <v>214.48199999999997</v>
      </c>
      <c r="N26" s="43">
        <f>'Plantations 2012-13'!K22</f>
        <v>357.24</v>
      </c>
      <c r="O26" s="44">
        <f t="shared" si="0"/>
        <v>2380.2420000000002</v>
      </c>
      <c r="P26" s="44">
        <f t="shared" si="1"/>
        <v>18378.280000000002</v>
      </c>
    </row>
    <row r="27" spans="1:16" s="33" customFormat="1" ht="14.25" customHeight="1" x14ac:dyDescent="0.2">
      <c r="A27" s="42" t="s">
        <v>29</v>
      </c>
      <c r="B27" s="43">
        <f>'Fruits 2012-13'!BB23</f>
        <v>51.930000000000007</v>
      </c>
      <c r="C27" s="43">
        <f>'Fruits 2012-13'!BC23</f>
        <v>440.59</v>
      </c>
      <c r="D27" s="43">
        <f>'Vegetables 2012-13'!AT23</f>
        <v>21.732999999999997</v>
      </c>
      <c r="E27" s="43">
        <f>'Vegetables 2012-13'!AU23</f>
        <v>219.82</v>
      </c>
      <c r="F27" s="43">
        <f>'Flowers 2012-13'!AL24</f>
        <v>0</v>
      </c>
      <c r="G27" s="43">
        <f>'Flowers 2012-13'!AM24</f>
        <v>0</v>
      </c>
      <c r="H27" s="43">
        <f>'Flowers 2012-13'!AN24</f>
        <v>0</v>
      </c>
      <c r="I27" s="43">
        <v>0</v>
      </c>
      <c r="J27" s="43">
        <v>0</v>
      </c>
      <c r="K27" s="43">
        <f>'Spices 2012-13'!AJ19</f>
        <v>10.47</v>
      </c>
      <c r="L27" s="43">
        <f>'Spices 2012-13'!AK19</f>
        <v>24.141000000000002</v>
      </c>
      <c r="M27" s="43">
        <f>'Plantations 2012-13'!J23</f>
        <v>0</v>
      </c>
      <c r="N27" s="43">
        <f>'Plantations 2012-13'!K23</f>
        <v>0</v>
      </c>
      <c r="O27" s="44">
        <f t="shared" si="0"/>
        <v>84.13300000000001</v>
      </c>
      <c r="P27" s="44">
        <f t="shared" si="1"/>
        <v>684.55099999999993</v>
      </c>
    </row>
    <row r="28" spans="1:16" s="33" customFormat="1" ht="14.25" customHeight="1" x14ac:dyDescent="0.2">
      <c r="A28" s="42" t="s">
        <v>30</v>
      </c>
      <c r="B28" s="43">
        <f>'Fruits 2012-13'!BB24</f>
        <v>33.151000000000003</v>
      </c>
      <c r="C28" s="43">
        <f>'Fruits 2012-13'!BC24</f>
        <v>316.56500000000005</v>
      </c>
      <c r="D28" s="43">
        <f>'Vegetables 2012-13'!AT24</f>
        <v>40.453000000000003</v>
      </c>
      <c r="E28" s="43">
        <f>'Vegetables 2012-13'!AU24</f>
        <v>403.37299999999999</v>
      </c>
      <c r="F28" s="43">
        <f>'Flowers 2012-13'!AL25</f>
        <v>0</v>
      </c>
      <c r="G28" s="43">
        <f>'Flowers 2012-13'!AM25</f>
        <v>0</v>
      </c>
      <c r="H28" s="43">
        <f>'Flowers 2012-13'!AN25</f>
        <v>0</v>
      </c>
      <c r="I28" s="43">
        <v>0</v>
      </c>
      <c r="J28" s="43">
        <v>0</v>
      </c>
      <c r="K28" s="43">
        <f>'Spices 2012-13'!AJ20</f>
        <v>16.852</v>
      </c>
      <c r="L28" s="43">
        <f>'Spices 2012-13'!AK20</f>
        <v>74.809999999999988</v>
      </c>
      <c r="M28" s="43">
        <f>'Plantations 2012-13'!J24</f>
        <v>23.119999999999997</v>
      </c>
      <c r="N28" s="43">
        <f>'Plantations 2012-13'!K24</f>
        <v>29.189999999999998</v>
      </c>
      <c r="O28" s="44">
        <f t="shared" si="0"/>
        <v>113.57600000000002</v>
      </c>
      <c r="P28" s="44">
        <f t="shared" si="1"/>
        <v>823.9380000000001</v>
      </c>
    </row>
    <row r="29" spans="1:16" s="33" customFormat="1" ht="14.25" customHeight="1" x14ac:dyDescent="0.2">
      <c r="A29" s="42" t="s">
        <v>31</v>
      </c>
      <c r="B29" s="43">
        <f>'Fruits 2012-13'!BB25</f>
        <v>49.68399999999999</v>
      </c>
      <c r="C29" s="43">
        <f>'Fruits 2012-13'!BC25</f>
        <v>292.94499999999999</v>
      </c>
      <c r="D29" s="43">
        <f>'Vegetables 2012-13'!AT25</f>
        <v>39.328000000000003</v>
      </c>
      <c r="E29" s="43">
        <f>'Vegetables 2012-13'!AU25</f>
        <v>236.67999999999995</v>
      </c>
      <c r="F29" s="43">
        <f>'Flowers 2012-13'!AL26</f>
        <v>0.16299999999999998</v>
      </c>
      <c r="G29" s="43">
        <f>'Flowers 2012-13'!AM26</f>
        <v>166.83</v>
      </c>
      <c r="H29" s="43">
        <f>'Flowers 2012-13'!AN26</f>
        <v>605.2170000000001</v>
      </c>
      <c r="I29" s="43">
        <f>0.046+0.978</f>
        <v>1.024</v>
      </c>
      <c r="J29" s="43">
        <f>0.0258+0.68</f>
        <v>0.70580000000000009</v>
      </c>
      <c r="K29" s="43">
        <f>'Spices 2012-13'!AJ21</f>
        <v>22.470000000000002</v>
      </c>
      <c r="L29" s="43">
        <f>'Spices 2012-13'!AK21</f>
        <v>59.61999999999999</v>
      </c>
      <c r="M29" s="43">
        <f>'Plantations 2012-13'!J25</f>
        <v>7.59</v>
      </c>
      <c r="N29" s="43">
        <f>'Plantations 2012-13'!K25</f>
        <v>4.38</v>
      </c>
      <c r="O29" s="44">
        <f t="shared" si="0"/>
        <v>120.259</v>
      </c>
      <c r="P29" s="44">
        <f t="shared" si="1"/>
        <v>761.16079999999999</v>
      </c>
    </row>
    <row r="30" spans="1:16" s="33" customFormat="1" ht="14.25" customHeight="1" x14ac:dyDescent="0.2">
      <c r="A30" s="42" t="s">
        <v>32</v>
      </c>
      <c r="B30" s="43">
        <f>'Fruits 2012-13'!BB26</f>
        <v>37.234000000000002</v>
      </c>
      <c r="C30" s="43">
        <f>'Fruits 2012-13'!BC26</f>
        <v>275.94999999999993</v>
      </c>
      <c r="D30" s="43">
        <f>'Vegetables 2012-13'!AT26</f>
        <v>26.005000000000003</v>
      </c>
      <c r="E30" s="43">
        <f>'Vegetables 2012-13'!AU26</f>
        <v>207.74</v>
      </c>
      <c r="F30" s="43">
        <f>'Flowers 2012-13'!AL27</f>
        <v>8.1400000000000014E-3</v>
      </c>
      <c r="G30" s="43">
        <f>'Flowers 2012-13'!AM27</f>
        <v>0</v>
      </c>
      <c r="H30" s="43">
        <f>'Flowers 2012-13'!AN27</f>
        <v>96.659000000000006</v>
      </c>
      <c r="I30" s="43">
        <v>0</v>
      </c>
      <c r="J30" s="43">
        <v>0</v>
      </c>
      <c r="K30" s="43">
        <f>'Spices 2012-13'!AJ22</f>
        <v>9.77</v>
      </c>
      <c r="L30" s="43">
        <f>'Spices 2012-13'!AK22</f>
        <v>39.159999999999997</v>
      </c>
      <c r="M30" s="43">
        <f>'Plantations 2012-13'!J26</f>
        <v>1.52</v>
      </c>
      <c r="N30" s="43">
        <f>'Plantations 2012-13'!K26</f>
        <v>10.52</v>
      </c>
      <c r="O30" s="44">
        <f t="shared" si="0"/>
        <v>74.537139999999994</v>
      </c>
      <c r="P30" s="44">
        <f t="shared" si="1"/>
        <v>533.36999999999989</v>
      </c>
    </row>
    <row r="31" spans="1:16" s="33" customFormat="1" ht="14.25" customHeight="1" x14ac:dyDescent="0.2">
      <c r="A31" s="42" t="s">
        <v>209</v>
      </c>
      <c r="B31" s="43">
        <f>'Fruits 2012-13'!BB27</f>
        <v>329.38</v>
      </c>
      <c r="C31" s="43">
        <f>'Fruits 2012-13'!BC27</f>
        <v>2210.42</v>
      </c>
      <c r="D31" s="43">
        <f>'Vegetables 2012-13'!AT27</f>
        <v>688.1400000000001</v>
      </c>
      <c r="E31" s="43">
        <f>'Vegetables 2012-13'!AU27</f>
        <v>9463.99</v>
      </c>
      <c r="F31" s="43">
        <f>'Flowers 2012-13'!AL28</f>
        <v>7.5200000000000005</v>
      </c>
      <c r="G31" s="43">
        <f>'Flowers 2012-13'!AM28</f>
        <v>26.161999999999999</v>
      </c>
      <c r="H31" s="43">
        <f>'Flowers 2012-13'!AN28</f>
        <v>6040</v>
      </c>
      <c r="I31" s="43">
        <v>1.921</v>
      </c>
      <c r="J31" s="43">
        <v>0.64</v>
      </c>
      <c r="K31" s="43">
        <f>'Spices 2012-13'!AJ23</f>
        <v>123.92400000000001</v>
      </c>
      <c r="L31" s="43">
        <f>'Spices 2012-13'!AK23</f>
        <v>181.5</v>
      </c>
      <c r="M31" s="43">
        <f>'Plantations 2012-13'!J27</f>
        <v>218.2</v>
      </c>
      <c r="N31" s="43">
        <f>'Plantations 2012-13'!K27</f>
        <v>363.01</v>
      </c>
      <c r="O31" s="44">
        <f t="shared" si="0"/>
        <v>1369.0850000000003</v>
      </c>
      <c r="P31" s="44">
        <f t="shared" si="1"/>
        <v>12245.722</v>
      </c>
    </row>
    <row r="32" spans="1:16" s="33" customFormat="1" ht="14.25" customHeight="1" x14ac:dyDescent="0.2">
      <c r="A32" s="42" t="s">
        <v>181</v>
      </c>
      <c r="B32" s="43">
        <f>'Fruits 2012-13'!BB28</f>
        <v>0.47599999999999998</v>
      </c>
      <c r="C32" s="43">
        <f>'Fruits 2012-13'!BC28</f>
        <v>9.3360000000000003</v>
      </c>
      <c r="D32" s="43">
        <f>'Vegetables 2012-13'!AT28</f>
        <v>1.4550000000000001</v>
      </c>
      <c r="E32" s="43">
        <f>'Vegetables 2012-13'!AU28</f>
        <v>24.998999999999995</v>
      </c>
      <c r="F32" s="43">
        <f>'Flowers 2012-13'!AL29</f>
        <v>7.5999999999999998E-2</v>
      </c>
      <c r="G32" s="43">
        <f>'Flowers 2012-13'!AM29</f>
        <v>0.42699999999999999</v>
      </c>
      <c r="H32" s="43">
        <f>'Flowers 2012-13'!AN29</f>
        <v>0</v>
      </c>
      <c r="I32" s="43">
        <v>0</v>
      </c>
      <c r="J32" s="43">
        <v>0</v>
      </c>
      <c r="K32" s="43">
        <f>'Spices 2012-13'!AJ24</f>
        <v>0.03</v>
      </c>
      <c r="L32" s="43">
        <f>'Spices 2012-13'!AK24</f>
        <v>0.03</v>
      </c>
      <c r="M32" s="43">
        <f>'Plantations 2012-13'!J28</f>
        <v>2.012</v>
      </c>
      <c r="N32" s="43">
        <f>'Plantations 2012-13'!K28</f>
        <v>23.259999999999998</v>
      </c>
      <c r="O32" s="44">
        <f t="shared" si="0"/>
        <v>4.0489999999999995</v>
      </c>
      <c r="P32" s="44">
        <f t="shared" si="1"/>
        <v>58.051999999999992</v>
      </c>
    </row>
    <row r="33" spans="1:16" s="33" customFormat="1" ht="14.25" customHeight="1" x14ac:dyDescent="0.2">
      <c r="A33" s="42" t="s">
        <v>33</v>
      </c>
      <c r="B33" s="43">
        <f>'Fruits 2012-13'!BB29</f>
        <v>74.890000000000029</v>
      </c>
      <c r="C33" s="43">
        <f>'Fruits 2012-13'!BC29</f>
        <v>1502.52</v>
      </c>
      <c r="D33" s="43">
        <f>'Vegetables 2012-13'!AT29</f>
        <v>184.1</v>
      </c>
      <c r="E33" s="43">
        <f>'Vegetables 2012-13'!AU29</f>
        <v>3782.6100000000006</v>
      </c>
      <c r="F33" s="43">
        <f>'Flowers 2012-13'!AL30</f>
        <v>2.1100000000000003</v>
      </c>
      <c r="G33" s="43">
        <f>'Flowers 2012-13'!AM30</f>
        <v>10.450000000000001</v>
      </c>
      <c r="H33" s="43">
        <f>'Flowers 2012-13'!AN30</f>
        <v>0</v>
      </c>
      <c r="I33" s="28">
        <v>8.9700000000000006</v>
      </c>
      <c r="J33" s="43">
        <v>1.43</v>
      </c>
      <c r="K33" s="43">
        <f>'Spices 2012-13'!AJ25</f>
        <v>18.37</v>
      </c>
      <c r="L33" s="43">
        <f>'Spices 2012-13'!AK25</f>
        <v>68.210000000000008</v>
      </c>
      <c r="M33" s="43">
        <f>'Plantations 2012-13'!J29</f>
        <v>0</v>
      </c>
      <c r="N33" s="43">
        <f>'Plantations 2012-13'!K29</f>
        <v>0</v>
      </c>
      <c r="O33" s="44">
        <f t="shared" si="0"/>
        <v>288.44000000000005</v>
      </c>
      <c r="P33" s="44">
        <f t="shared" si="1"/>
        <v>5365.2200000000012</v>
      </c>
    </row>
    <row r="34" spans="1:16" s="33" customFormat="1" ht="14.25" customHeight="1" x14ac:dyDescent="0.2">
      <c r="A34" s="42" t="s">
        <v>34</v>
      </c>
      <c r="B34" s="43">
        <f>'Fruits 2012-13'!BB30</f>
        <v>46.521000000000001</v>
      </c>
      <c r="C34" s="43">
        <f>'Fruits 2012-13'!BC30</f>
        <v>716.82</v>
      </c>
      <c r="D34" s="43">
        <f>'Vegetables 2012-13'!AT30</f>
        <v>224.42999999999995</v>
      </c>
      <c r="E34" s="43">
        <f>'Vegetables 2012-13'!AU30</f>
        <v>873.5</v>
      </c>
      <c r="F34" s="43">
        <f>'Flowers 2012-13'!AL31</f>
        <v>3.4340000000000002</v>
      </c>
      <c r="G34" s="43">
        <f>'Flowers 2012-13'!AM31</f>
        <v>3.7189999999999999</v>
      </c>
      <c r="H34" s="43">
        <f>'Flowers 2012-13'!AN31</f>
        <v>0</v>
      </c>
      <c r="I34" s="43">
        <v>308.678</v>
      </c>
      <c r="J34" s="43">
        <v>164.52500000000001</v>
      </c>
      <c r="K34" s="43">
        <f>'Spices 2012-13'!AJ26</f>
        <v>720.63999999999987</v>
      </c>
      <c r="L34" s="43">
        <f>'Spices 2012-13'!AK26</f>
        <v>860.89</v>
      </c>
      <c r="M34" s="43">
        <f>'Plantations 2012-13'!J30</f>
        <v>0</v>
      </c>
      <c r="N34" s="43">
        <f>'Plantations 2012-13'!K30</f>
        <v>0</v>
      </c>
      <c r="O34" s="44">
        <f t="shared" si="0"/>
        <v>1303.703</v>
      </c>
      <c r="P34" s="44">
        <f t="shared" si="1"/>
        <v>2619.4540000000002</v>
      </c>
    </row>
    <row r="35" spans="1:16" s="33" customFormat="1" ht="14.25" customHeight="1" x14ac:dyDescent="0.2">
      <c r="A35" s="42" t="s">
        <v>35</v>
      </c>
      <c r="B35" s="43">
        <f>'Fruits 2012-13'!BB31</f>
        <v>14.653</v>
      </c>
      <c r="C35" s="43">
        <f>'Fruits 2012-13'!BC31</f>
        <v>24.020000000000003</v>
      </c>
      <c r="D35" s="43">
        <f>'Vegetables 2012-13'!AT31</f>
        <v>25.561</v>
      </c>
      <c r="E35" s="43">
        <f>'Vegetables 2012-13'!AU31</f>
        <v>132.512</v>
      </c>
      <c r="F35" s="43">
        <f>'Flowers 2012-13'!AL32</f>
        <v>0.22200000000000003</v>
      </c>
      <c r="G35" s="43">
        <f>'Flowers 2012-13'!AM32</f>
        <v>26.5</v>
      </c>
      <c r="H35" s="43">
        <f>'Flowers 2012-13'!AN32</f>
        <v>214.1</v>
      </c>
      <c r="I35" s="43">
        <v>0</v>
      </c>
      <c r="J35" s="43">
        <v>0</v>
      </c>
      <c r="K35" s="43">
        <f>'Spices 2012-13'!AJ27</f>
        <v>26.560000000000002</v>
      </c>
      <c r="L35" s="43">
        <f>'Spices 2012-13'!AK27</f>
        <v>60.08</v>
      </c>
      <c r="M35" s="43">
        <f>'Plantations 2012-13'!J31</f>
        <v>0</v>
      </c>
      <c r="N35" s="43">
        <f>'Plantations 2012-13'!K31</f>
        <v>0</v>
      </c>
      <c r="O35" s="44">
        <f t="shared" si="0"/>
        <v>66.996000000000009</v>
      </c>
      <c r="P35" s="44">
        <f t="shared" si="1"/>
        <v>243.11200000000002</v>
      </c>
    </row>
    <row r="36" spans="1:16" s="33" customFormat="1" ht="14.25" customHeight="1" x14ac:dyDescent="0.2">
      <c r="A36" s="42" t="s">
        <v>59</v>
      </c>
      <c r="B36" s="43">
        <f>'Fruits 2012-13'!BB32</f>
        <v>309.93999999999994</v>
      </c>
      <c r="C36" s="43">
        <f>'Fruits 2012-13'!BC32</f>
        <v>6699.8799999999992</v>
      </c>
      <c r="D36" s="43">
        <f>'Vegetables 2012-13'!AT32</f>
        <v>277.77999999999997</v>
      </c>
      <c r="E36" s="43">
        <f>'Vegetables 2012-13'!AU32</f>
        <v>7897.93</v>
      </c>
      <c r="F36" s="43">
        <f>'Flowers 2012-13'!AL33</f>
        <v>28.71</v>
      </c>
      <c r="G36" s="43">
        <f>'Flowers 2012-13'!AM33</f>
        <v>312.97000000000003</v>
      </c>
      <c r="H36" s="43">
        <f>'Flowers 2012-13'!AN33</f>
        <v>1168</v>
      </c>
      <c r="I36" s="43">
        <v>15.15</v>
      </c>
      <c r="J36" s="43">
        <v>147.41</v>
      </c>
      <c r="K36" s="43">
        <f>'Spices 2012-13'!AJ28</f>
        <v>124.39</v>
      </c>
      <c r="L36" s="43">
        <f>'Spices 2012-13'!AK28</f>
        <v>279.61099999999999</v>
      </c>
      <c r="M36" s="43">
        <f>'Plantations 2012-13'!J32</f>
        <v>629.97699999999998</v>
      </c>
      <c r="N36" s="43">
        <f>'Plantations 2012-13'!K32</f>
        <v>4837.3100000000004</v>
      </c>
      <c r="O36" s="44">
        <f t="shared" si="0"/>
        <v>1385.9469999999999</v>
      </c>
      <c r="P36" s="44">
        <f t="shared" si="1"/>
        <v>20175.111000000001</v>
      </c>
    </row>
    <row r="37" spans="1:16" s="33" customFormat="1" ht="14.25" customHeight="1" x14ac:dyDescent="0.2">
      <c r="A37" s="42" t="s">
        <v>37</v>
      </c>
      <c r="B37" s="43">
        <f>'Fruits 2012-13'!BB33</f>
        <v>60.120000000000005</v>
      </c>
      <c r="C37" s="43">
        <f>'Fruits 2012-13'!BC33</f>
        <v>697.87</v>
      </c>
      <c r="D37" s="43">
        <f>'Vegetables 2012-13'!AT33</f>
        <v>45.1</v>
      </c>
      <c r="E37" s="43">
        <f>'Vegetables 2012-13'!AU33</f>
        <v>754.05</v>
      </c>
      <c r="F37" s="43">
        <f>'Flowers 2012-13'!AL34</f>
        <v>0</v>
      </c>
      <c r="G37" s="43">
        <f>'Flowers 2012-13'!AM34</f>
        <v>0</v>
      </c>
      <c r="H37" s="43">
        <f>'Flowers 2012-13'!AN34</f>
        <v>0</v>
      </c>
      <c r="I37" s="43">
        <v>0</v>
      </c>
      <c r="J37" s="43">
        <v>0</v>
      </c>
      <c r="K37" s="43">
        <f>'Spices 2012-13'!AJ29</f>
        <v>5.69</v>
      </c>
      <c r="L37" s="43">
        <f>'Spices 2012-13'!AK29</f>
        <v>18.04</v>
      </c>
      <c r="M37" s="43">
        <f>'Plantations 2012-13'!J33</f>
        <v>15.27</v>
      </c>
      <c r="N37" s="43">
        <f>'Plantations 2012-13'!K33</f>
        <v>33.53</v>
      </c>
      <c r="O37" s="44">
        <f t="shared" si="0"/>
        <v>126.17999999999999</v>
      </c>
      <c r="P37" s="44">
        <f t="shared" si="1"/>
        <v>1503.49</v>
      </c>
    </row>
    <row r="38" spans="1:16" s="33" customFormat="1" ht="14.25" customHeight="1" x14ac:dyDescent="0.2">
      <c r="A38" s="42" t="s">
        <v>38</v>
      </c>
      <c r="B38" s="43">
        <f>'Fruits 2012-13'!BB34</f>
        <v>326.17500000000001</v>
      </c>
      <c r="C38" s="43">
        <f>'Fruits 2012-13'!BC34</f>
        <v>5176.1389999999992</v>
      </c>
      <c r="D38" s="43">
        <f>'Vegetables 2012-13'!AT34</f>
        <v>912.6640000000001</v>
      </c>
      <c r="E38" s="43">
        <f>'Vegetables 2012-13'!AU34</f>
        <v>19571.555999999997</v>
      </c>
      <c r="F38" s="43">
        <f>'Flowers 2012-13'!AL35</f>
        <v>16.187999999999999</v>
      </c>
      <c r="G38" s="43">
        <f>'Flowers 2012-13'!AM35</f>
        <v>31.494</v>
      </c>
      <c r="H38" s="43">
        <f>'Flowers 2012-13'!AN35</f>
        <v>4908</v>
      </c>
      <c r="I38" s="43">
        <v>133.69999999999999</v>
      </c>
      <c r="J38" s="43">
        <v>13.4</v>
      </c>
      <c r="K38" s="43">
        <f>'Spices 2012-13'!AJ30</f>
        <v>60.182999999999993</v>
      </c>
      <c r="L38" s="43">
        <f>'Spices 2012-13'!AK30</f>
        <v>212.32</v>
      </c>
      <c r="M38" s="43">
        <f>'Plantations 2012-13'!J34</f>
        <v>0</v>
      </c>
      <c r="N38" s="43">
        <f>'Plantations 2012-13'!K34</f>
        <v>0</v>
      </c>
      <c r="O38" s="44">
        <f t="shared" si="0"/>
        <v>1448.9100000000003</v>
      </c>
      <c r="P38" s="44">
        <f t="shared" si="1"/>
        <v>25004.908999999996</v>
      </c>
    </row>
    <row r="39" spans="1:16" s="33" customFormat="1" ht="14.25" customHeight="1" x14ac:dyDescent="0.2">
      <c r="A39" s="42" t="s">
        <v>98</v>
      </c>
      <c r="B39" s="43">
        <f>'Fruits 2012-13'!BB35</f>
        <v>200.851</v>
      </c>
      <c r="C39" s="43">
        <f>'Fruits 2012-13'!BC35</f>
        <v>805.66800000000001</v>
      </c>
      <c r="D39" s="43">
        <f>'Vegetables 2012-13'!AT35</f>
        <v>88.032999999999987</v>
      </c>
      <c r="E39" s="43">
        <f>'Vegetables 2012-13'!AU35</f>
        <v>1059.5709999999999</v>
      </c>
      <c r="F39" s="43">
        <f>'Flowers 2012-13'!AL36</f>
        <v>1.5609999999999999</v>
      </c>
      <c r="G39" s="43">
        <f>'Flowers 2012-13'!AM36</f>
        <v>1.8240000000000001</v>
      </c>
      <c r="H39" s="43">
        <f>'Flowers 2012-13'!AN36</f>
        <v>3633</v>
      </c>
      <c r="I39" s="43">
        <v>0</v>
      </c>
      <c r="J39" s="43">
        <v>0</v>
      </c>
      <c r="K39" s="43">
        <f>'Spices 2012-13'!AJ31</f>
        <v>8.0850000000000009</v>
      </c>
      <c r="L39" s="43">
        <f>'Spices 2012-13'!AK31</f>
        <v>41.08</v>
      </c>
      <c r="M39" s="43">
        <f>'Plantations 2012-13'!J35</f>
        <v>0</v>
      </c>
      <c r="N39" s="43">
        <f>'Plantations 2012-13'!K35</f>
        <v>0</v>
      </c>
      <c r="O39" s="44">
        <f t="shared" si="0"/>
        <v>298.52999999999997</v>
      </c>
      <c r="P39" s="44">
        <f t="shared" si="1"/>
        <v>1908.143</v>
      </c>
    </row>
    <row r="40" spans="1:16" s="33" customFormat="1" ht="14.25" customHeight="1" x14ac:dyDescent="0.2">
      <c r="A40" s="42" t="s">
        <v>40</v>
      </c>
      <c r="B40" s="43">
        <f>'Fruits 2012-13'!BB36</f>
        <v>220.59500000000006</v>
      </c>
      <c r="C40" s="43">
        <f>'Fruits 2012-13'!BC36</f>
        <v>3172.5000000000005</v>
      </c>
      <c r="D40" s="43">
        <f>'Vegetables 2012-13'!AT36</f>
        <v>1347.9570000000001</v>
      </c>
      <c r="E40" s="43">
        <f>'Vegetables 2012-13'!AU36</f>
        <v>25466.809999999998</v>
      </c>
      <c r="F40" s="43">
        <f>'Flowers 2012-13'!AL37</f>
        <v>24.41</v>
      </c>
      <c r="G40" s="43">
        <f>'Flowers 2012-13'!AM37</f>
        <v>65.143000000000001</v>
      </c>
      <c r="H40" s="43">
        <f>'Flowers 2012-13'!AN37</f>
        <v>25429.1</v>
      </c>
      <c r="I40" s="43">
        <v>0</v>
      </c>
      <c r="J40" s="43">
        <v>0</v>
      </c>
      <c r="K40" s="43">
        <f>'Spices 2012-13'!AJ32</f>
        <v>97.559999999999988</v>
      </c>
      <c r="L40" s="43">
        <f>'Spices 2012-13'!AK32</f>
        <v>207.66</v>
      </c>
      <c r="M40" s="43">
        <f>'Plantations 2012-13'!J36</f>
        <v>51.59</v>
      </c>
      <c r="N40" s="43">
        <f>'Plantations 2012-13'!K36</f>
        <v>287.39</v>
      </c>
      <c r="O40" s="44">
        <f t="shared" si="0"/>
        <v>1742.1120000000001</v>
      </c>
      <c r="P40" s="44">
        <f t="shared" si="1"/>
        <v>29199.502999999997</v>
      </c>
    </row>
    <row r="41" spans="1:16" s="33" customFormat="1" ht="14.25" customHeight="1" x14ac:dyDescent="0.2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</row>
    <row r="42" spans="1:16" s="33" customFormat="1" ht="14.25" customHeight="1" x14ac:dyDescent="0.2">
      <c r="A42" s="42" t="s">
        <v>9</v>
      </c>
      <c r="B42" s="44">
        <f>SUM(B7:B41)</f>
        <v>6982.0150000000012</v>
      </c>
      <c r="C42" s="44">
        <f t="shared" ref="C42:P42" si="2">SUM(C7:C41)</f>
        <v>81285.333949999986</v>
      </c>
      <c r="D42" s="44">
        <f t="shared" si="2"/>
        <v>9205.1855000000014</v>
      </c>
      <c r="E42" s="44">
        <f t="shared" si="2"/>
        <v>162186.56659</v>
      </c>
      <c r="F42" s="44">
        <f t="shared" si="2"/>
        <v>232.74414000000002</v>
      </c>
      <c r="G42" s="44">
        <f t="shared" si="2"/>
        <v>1729.2120399999999</v>
      </c>
      <c r="H42" s="44">
        <f t="shared" si="2"/>
        <v>76731.850999999995</v>
      </c>
      <c r="I42" s="44">
        <f t="shared" si="2"/>
        <v>557.16300000000001</v>
      </c>
      <c r="J42" s="44">
        <f t="shared" si="2"/>
        <v>918.2217999999998</v>
      </c>
      <c r="K42" s="44">
        <f t="shared" si="2"/>
        <v>3075.8989999999994</v>
      </c>
      <c r="L42" s="44">
        <f t="shared" si="2"/>
        <v>5743.5240999999996</v>
      </c>
      <c r="M42" s="44">
        <f t="shared" si="2"/>
        <v>3641.1379999999999</v>
      </c>
      <c r="N42" s="44">
        <f t="shared" si="2"/>
        <v>16984.594999999998</v>
      </c>
      <c r="O42" s="44">
        <f t="shared" si="2"/>
        <v>23694.144639999999</v>
      </c>
      <c r="P42" s="44">
        <f t="shared" si="2"/>
        <v>268847.45348000003</v>
      </c>
    </row>
    <row r="43" spans="1:16" ht="14.25" customHeight="1" x14ac:dyDescent="0.2">
      <c r="A43" s="45" t="s">
        <v>179</v>
      </c>
      <c r="B43" s="46"/>
      <c r="C43" s="46"/>
      <c r="D43" s="46"/>
      <c r="E43" s="46"/>
      <c r="F43" s="47"/>
      <c r="G43" s="47"/>
      <c r="H43" s="46"/>
      <c r="I43" s="48"/>
      <c r="J43" s="48"/>
      <c r="K43" s="48"/>
      <c r="L43" s="48" t="s">
        <v>39</v>
      </c>
      <c r="M43" s="49"/>
      <c r="N43" s="49"/>
    </row>
    <row r="44" spans="1:16" ht="14.25" customHeight="1" x14ac:dyDescent="0.2">
      <c r="A44" s="51" t="s">
        <v>180</v>
      </c>
      <c r="B44" s="46"/>
      <c r="C44" s="46"/>
      <c r="D44" s="46"/>
      <c r="E44" s="46"/>
      <c r="F44" s="46"/>
      <c r="G44" s="46"/>
      <c r="H44" s="46"/>
      <c r="I44" s="48"/>
      <c r="J44" s="48"/>
      <c r="K44" s="48"/>
      <c r="L44" s="48"/>
      <c r="M44" s="49"/>
      <c r="N44" s="49"/>
    </row>
    <row r="45" spans="1:16" ht="14.25" customHeight="1" x14ac:dyDescent="0.2">
      <c r="A45" s="51" t="s">
        <v>198</v>
      </c>
      <c r="B45" s="46"/>
      <c r="C45" s="46"/>
      <c r="D45" s="46"/>
      <c r="E45" s="46"/>
      <c r="F45" s="46"/>
      <c r="G45" s="46"/>
      <c r="H45" s="46"/>
      <c r="I45" s="48"/>
      <c r="J45" s="48"/>
      <c r="K45" s="48"/>
      <c r="L45" s="48"/>
      <c r="M45" s="49"/>
      <c r="N45" s="49"/>
    </row>
    <row r="46" spans="1:16" s="33" customFormat="1" ht="14.25" customHeight="1" x14ac:dyDescent="0.2">
      <c r="A46" s="96" t="s">
        <v>206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1:16" s="33" customFormat="1" ht="14.25" customHeight="1" x14ac:dyDescent="0.2">
      <c r="A47" s="52" t="s">
        <v>195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6" ht="14.25" customHeight="1" x14ac:dyDescent="0.2">
      <c r="A48" s="53"/>
      <c r="B48" s="53"/>
      <c r="C48" s="53"/>
      <c r="D48" s="53"/>
      <c r="E48" s="53"/>
      <c r="F48" s="53"/>
    </row>
  </sheetData>
  <mergeCells count="12">
    <mergeCell ref="A1:P1"/>
    <mergeCell ref="A2:P2"/>
    <mergeCell ref="A3:P3"/>
    <mergeCell ref="A46:N46"/>
    <mergeCell ref="G5:H5"/>
    <mergeCell ref="K4:L4"/>
    <mergeCell ref="M4:N4"/>
    <mergeCell ref="O4:P4"/>
    <mergeCell ref="B4:C4"/>
    <mergeCell ref="D4:E4"/>
    <mergeCell ref="F4:H4"/>
    <mergeCell ref="I4:J4"/>
  </mergeCells>
  <phoneticPr fontId="24" type="noConversion"/>
  <printOptions horizontalCentered="1" verticalCentered="1"/>
  <pageMargins left="0.25" right="0.25" top="0.5" bottom="0.25" header="0.5" footer="0.25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0"/>
  <sheetViews>
    <sheetView zoomScaleNormal="100" workbookViewId="0">
      <pane xSplit="1" ySplit="2" topLeftCell="H30" activePane="bottomRight" state="frozen"/>
      <selection pane="topRight" activeCell="B1" sqref="B1"/>
      <selection pane="bottomLeft" activeCell="A3" sqref="A3"/>
      <selection pane="bottomRight" activeCell="I48" sqref="I48"/>
    </sheetView>
  </sheetViews>
  <sheetFormatPr defaultRowHeight="19.5" customHeight="1" x14ac:dyDescent="0.2"/>
  <cols>
    <col min="1" max="1" width="22.7109375" style="56" customWidth="1"/>
    <col min="2" max="9" width="9.28515625" style="56" bestFit="1" customWidth="1"/>
    <col min="10" max="10" width="9.42578125" style="56" bestFit="1" customWidth="1"/>
    <col min="11" max="11" width="9.5703125" style="56" bestFit="1" customWidth="1"/>
    <col min="12" max="12" width="7.7109375" style="56" customWidth="1"/>
    <col min="13" max="19" width="9.42578125" style="56" bestFit="1" customWidth="1"/>
    <col min="20" max="26" width="9.28515625" style="56" bestFit="1" customWidth="1"/>
    <col min="27" max="27" width="9.42578125" style="56" bestFit="1" customWidth="1"/>
    <col min="28" max="42" width="9.28515625" style="56" bestFit="1" customWidth="1"/>
    <col min="43" max="43" width="9.42578125" style="56" bestFit="1" customWidth="1"/>
    <col min="44" max="44" width="9.5703125" style="56" bestFit="1" customWidth="1"/>
    <col min="45" max="45" width="9.7109375" style="56" bestFit="1" customWidth="1"/>
    <col min="46" max="46" width="9.5703125" style="56" bestFit="1" customWidth="1"/>
    <col min="47" max="47" width="10.5703125" style="56" bestFit="1" customWidth="1"/>
    <col min="48" max="49" width="9.42578125" style="56" bestFit="1" customWidth="1"/>
    <col min="50" max="52" width="9.5703125" style="56" bestFit="1" customWidth="1"/>
    <col min="53" max="53" width="10.5703125" style="56" bestFit="1" customWidth="1"/>
    <col min="54" max="54" width="11.28515625" style="56" bestFit="1" customWidth="1"/>
    <col min="55" max="55" width="12" style="56" bestFit="1" customWidth="1"/>
    <col min="56" max="16384" width="9.140625" style="56"/>
  </cols>
  <sheetData>
    <row r="1" spans="1:55" ht="19.5" customHeight="1" x14ac:dyDescent="0.2">
      <c r="A1" s="24" t="s">
        <v>97</v>
      </c>
      <c r="B1" s="105" t="s">
        <v>99</v>
      </c>
      <c r="C1" s="105"/>
      <c r="D1" s="106" t="s">
        <v>199</v>
      </c>
      <c r="E1" s="107"/>
      <c r="F1" s="106" t="s">
        <v>0</v>
      </c>
      <c r="G1" s="107"/>
      <c r="H1" s="106" t="s">
        <v>100</v>
      </c>
      <c r="I1" s="107"/>
      <c r="J1" s="106" t="s">
        <v>1</v>
      </c>
      <c r="K1" s="107"/>
      <c r="L1" s="106" t="s">
        <v>101</v>
      </c>
      <c r="M1" s="107"/>
      <c r="N1" s="108" t="s">
        <v>102</v>
      </c>
      <c r="O1" s="109"/>
      <c r="P1" s="105" t="s">
        <v>103</v>
      </c>
      <c r="Q1" s="105"/>
      <c r="R1" s="105" t="s">
        <v>2</v>
      </c>
      <c r="S1" s="105"/>
      <c r="T1" s="106" t="s">
        <v>104</v>
      </c>
      <c r="U1" s="107"/>
      <c r="V1" s="105" t="s">
        <v>105</v>
      </c>
      <c r="W1" s="105"/>
      <c r="X1" s="105" t="s">
        <v>3</v>
      </c>
      <c r="Y1" s="105"/>
      <c r="Z1" s="105" t="s">
        <v>4</v>
      </c>
      <c r="AA1" s="105"/>
      <c r="AB1" s="105" t="s">
        <v>5</v>
      </c>
      <c r="AC1" s="105"/>
      <c r="AD1" s="106" t="s">
        <v>106</v>
      </c>
      <c r="AE1" s="107"/>
      <c r="AF1" s="106" t="s">
        <v>107</v>
      </c>
      <c r="AG1" s="107"/>
      <c r="AH1" s="105" t="s">
        <v>108</v>
      </c>
      <c r="AI1" s="105"/>
      <c r="AJ1" s="105" t="s">
        <v>109</v>
      </c>
      <c r="AK1" s="105"/>
      <c r="AL1" s="105" t="s">
        <v>110</v>
      </c>
      <c r="AM1" s="105"/>
      <c r="AN1" s="105" t="s">
        <v>6</v>
      </c>
      <c r="AO1" s="105"/>
      <c r="AP1" s="105" t="s">
        <v>111</v>
      </c>
      <c r="AQ1" s="105"/>
      <c r="AR1" s="105" t="s">
        <v>112</v>
      </c>
      <c r="AS1" s="105"/>
      <c r="AT1" s="105" t="s">
        <v>7</v>
      </c>
      <c r="AU1" s="105"/>
      <c r="AV1" s="106" t="s">
        <v>113</v>
      </c>
      <c r="AW1" s="107"/>
      <c r="AX1" s="105" t="s">
        <v>114</v>
      </c>
      <c r="AY1" s="105"/>
      <c r="AZ1" s="105" t="s">
        <v>115</v>
      </c>
      <c r="BA1" s="105"/>
      <c r="BB1" s="105" t="s">
        <v>116</v>
      </c>
      <c r="BC1" s="105"/>
    </row>
    <row r="2" spans="1:55" ht="19.5" customHeight="1" x14ac:dyDescent="0.2">
      <c r="A2" s="26"/>
      <c r="B2" s="24" t="s">
        <v>49</v>
      </c>
      <c r="C2" s="24" t="s">
        <v>10</v>
      </c>
      <c r="D2" s="24" t="s">
        <v>49</v>
      </c>
      <c r="E2" s="24" t="s">
        <v>10</v>
      </c>
      <c r="F2" s="24" t="s">
        <v>49</v>
      </c>
      <c r="G2" s="24" t="s">
        <v>10</v>
      </c>
      <c r="H2" s="24" t="s">
        <v>49</v>
      </c>
      <c r="I2" s="24" t="s">
        <v>10</v>
      </c>
      <c r="J2" s="24" t="s">
        <v>49</v>
      </c>
      <c r="K2" s="24" t="s">
        <v>10</v>
      </c>
      <c r="L2" s="24" t="s">
        <v>49</v>
      </c>
      <c r="M2" s="24" t="s">
        <v>10</v>
      </c>
      <c r="N2" s="24" t="s">
        <v>49</v>
      </c>
      <c r="O2" s="24" t="s">
        <v>10</v>
      </c>
      <c r="P2" s="24" t="s">
        <v>49</v>
      </c>
      <c r="Q2" s="24" t="s">
        <v>10</v>
      </c>
      <c r="R2" s="24" t="s">
        <v>49</v>
      </c>
      <c r="S2" s="24" t="s">
        <v>10</v>
      </c>
      <c r="T2" s="24" t="s">
        <v>49</v>
      </c>
      <c r="U2" s="24" t="s">
        <v>10</v>
      </c>
      <c r="V2" s="24" t="s">
        <v>49</v>
      </c>
      <c r="W2" s="24" t="s">
        <v>10</v>
      </c>
      <c r="X2" s="24" t="s">
        <v>49</v>
      </c>
      <c r="Y2" s="24" t="s">
        <v>10</v>
      </c>
      <c r="Z2" s="24" t="s">
        <v>49</v>
      </c>
      <c r="AA2" s="24" t="s">
        <v>10</v>
      </c>
      <c r="AB2" s="24" t="s">
        <v>49</v>
      </c>
      <c r="AC2" s="24" t="s">
        <v>10</v>
      </c>
      <c r="AD2" s="24" t="s">
        <v>49</v>
      </c>
      <c r="AE2" s="24" t="s">
        <v>10</v>
      </c>
      <c r="AF2" s="24" t="s">
        <v>49</v>
      </c>
      <c r="AG2" s="24" t="s">
        <v>10</v>
      </c>
      <c r="AH2" s="24" t="s">
        <v>49</v>
      </c>
      <c r="AI2" s="24" t="s">
        <v>10</v>
      </c>
      <c r="AJ2" s="24" t="s">
        <v>49</v>
      </c>
      <c r="AK2" s="24" t="s">
        <v>10</v>
      </c>
      <c r="AL2" s="24" t="s">
        <v>49</v>
      </c>
      <c r="AM2" s="24" t="s">
        <v>10</v>
      </c>
      <c r="AN2" s="24" t="s">
        <v>49</v>
      </c>
      <c r="AO2" s="24" t="s">
        <v>10</v>
      </c>
      <c r="AP2" s="24" t="s">
        <v>49</v>
      </c>
      <c r="AQ2" s="24" t="s">
        <v>10</v>
      </c>
      <c r="AR2" s="24" t="s">
        <v>49</v>
      </c>
      <c r="AS2" s="24" t="s">
        <v>10</v>
      </c>
      <c r="AT2" s="24" t="s">
        <v>49</v>
      </c>
      <c r="AU2" s="24" t="s">
        <v>10</v>
      </c>
      <c r="AV2" s="24" t="s">
        <v>49</v>
      </c>
      <c r="AW2" s="24" t="s">
        <v>10</v>
      </c>
      <c r="AX2" s="24" t="s">
        <v>49</v>
      </c>
      <c r="AY2" s="24" t="s">
        <v>10</v>
      </c>
      <c r="AZ2" s="24" t="s">
        <v>49</v>
      </c>
      <c r="BA2" s="24" t="s">
        <v>10</v>
      </c>
      <c r="BB2" s="24" t="s">
        <v>49</v>
      </c>
      <c r="BC2" s="24" t="s">
        <v>10</v>
      </c>
    </row>
    <row r="3" spans="1:55" ht="19.5" customHeight="1" x14ac:dyDescent="0.2">
      <c r="A3" s="27" t="s">
        <v>11</v>
      </c>
      <c r="B3" s="57"/>
      <c r="C3" s="57"/>
      <c r="D3" s="57"/>
      <c r="E3" s="57"/>
      <c r="F3" s="57"/>
      <c r="G3" s="57"/>
      <c r="H3" s="57"/>
      <c r="I3" s="57"/>
      <c r="J3" s="57">
        <v>1.675</v>
      </c>
      <c r="K3" s="57">
        <v>18.350000000000001</v>
      </c>
      <c r="L3" s="57"/>
      <c r="M3" s="57"/>
      <c r="N3" s="57">
        <v>0.01</v>
      </c>
      <c r="O3" s="57">
        <v>0.1</v>
      </c>
      <c r="P3" s="57"/>
      <c r="Q3" s="57"/>
      <c r="R3" s="57">
        <v>0.05</v>
      </c>
      <c r="S3" s="57">
        <v>0.42</v>
      </c>
      <c r="T3" s="57"/>
      <c r="U3" s="57"/>
      <c r="V3" s="57"/>
      <c r="W3" s="57"/>
      <c r="X3" s="57"/>
      <c r="Y3" s="57"/>
      <c r="Z3" s="57">
        <v>0.3</v>
      </c>
      <c r="AA3" s="57">
        <v>2.8</v>
      </c>
      <c r="AB3" s="57">
        <v>0.33</v>
      </c>
      <c r="AC3" s="57">
        <v>2.38</v>
      </c>
      <c r="AD3" s="57"/>
      <c r="AE3" s="57"/>
      <c r="AF3" s="58">
        <f>'Citrus 2012-13'!J3</f>
        <v>0.27</v>
      </c>
      <c r="AG3" s="58">
        <f>'Citrus 2012-13'!K3</f>
        <v>1.3100000000000003</v>
      </c>
      <c r="AH3" s="57"/>
      <c r="AI3" s="57"/>
      <c r="AJ3" s="57"/>
      <c r="AK3" s="57"/>
      <c r="AL3" s="57"/>
      <c r="AM3" s="57"/>
      <c r="AN3" s="57">
        <v>0.23</v>
      </c>
      <c r="AO3" s="57">
        <v>0.69</v>
      </c>
      <c r="AP3" s="57"/>
      <c r="AQ3" s="57"/>
      <c r="AR3" s="57">
        <v>0.02</v>
      </c>
      <c r="AS3" s="57">
        <v>0.06</v>
      </c>
      <c r="AT3" s="57">
        <v>0.16</v>
      </c>
      <c r="AU3" s="57">
        <v>3.12</v>
      </c>
      <c r="AV3" s="57"/>
      <c r="AW3" s="57"/>
      <c r="AX3" s="57"/>
      <c r="AY3" s="57"/>
      <c r="AZ3" s="57">
        <v>0.2</v>
      </c>
      <c r="BA3" s="57">
        <v>1.5</v>
      </c>
      <c r="BB3" s="58">
        <f>B3+D3+F3+H3+J3+L3+N3+P3+R3+T3+V3+X3+Z3+AB3+AD3+AF3+AH3+AJ3+AL3+AN3+AP3+AR3+AT3+AV3+AX3+AZ3</f>
        <v>3.2450000000000006</v>
      </c>
      <c r="BC3" s="58">
        <f>C3+E3+G3+I3+K3+M3+O3+Q3+S3+U3+W3+Y3+AA3+AC3+AE3+AG3+AI3+AK3+AM3+AO3+AQ3+AS3+AU3+AW3+AY3+BA3</f>
        <v>30.730000000000004</v>
      </c>
    </row>
    <row r="4" spans="1:55" ht="19.5" customHeight="1" x14ac:dyDescent="0.2">
      <c r="A4" s="27" t="s">
        <v>12</v>
      </c>
      <c r="B4" s="57"/>
      <c r="C4" s="57"/>
      <c r="D4" s="57">
        <v>12.977</v>
      </c>
      <c r="E4" s="57">
        <v>64.887</v>
      </c>
      <c r="F4" s="57"/>
      <c r="G4" s="57"/>
      <c r="H4" s="57"/>
      <c r="I4" s="57"/>
      <c r="J4" s="57">
        <v>92.650999999999996</v>
      </c>
      <c r="K4" s="57">
        <v>3242.797</v>
      </c>
      <c r="L4" s="57">
        <v>0.39</v>
      </c>
      <c r="M4" s="57">
        <v>3.9009999999999998</v>
      </c>
      <c r="N4" s="57">
        <v>4.923</v>
      </c>
      <c r="O4" s="57">
        <v>29.536000000000001</v>
      </c>
      <c r="P4" s="57">
        <v>1.5760000000000001</v>
      </c>
      <c r="Q4" s="57">
        <v>31.512</v>
      </c>
      <c r="R4" s="57">
        <v>12.298999999999999</v>
      </c>
      <c r="S4" s="57">
        <v>184.482</v>
      </c>
      <c r="T4" s="57"/>
      <c r="U4" s="57"/>
      <c r="V4" s="57"/>
      <c r="W4" s="57"/>
      <c r="X4" s="57"/>
      <c r="Y4" s="57"/>
      <c r="Z4" s="57">
        <v>489.65800000000002</v>
      </c>
      <c r="AA4" s="57">
        <v>4406.9229999999998</v>
      </c>
      <c r="AB4" s="57">
        <v>20.649000000000001</v>
      </c>
      <c r="AC4" s="57">
        <v>1651.9559999999999</v>
      </c>
      <c r="AD4" s="57"/>
      <c r="AE4" s="57"/>
      <c r="AF4" s="58">
        <f>'Citrus 2012-13'!J4</f>
        <v>253.37299999999999</v>
      </c>
      <c r="AG4" s="58">
        <f>'Citrus 2012-13'!K4</f>
        <v>3800.59</v>
      </c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>
        <v>6.2009999999999996</v>
      </c>
      <c r="AS4" s="57">
        <v>62.014000000000003</v>
      </c>
      <c r="AT4" s="57">
        <v>13.176</v>
      </c>
      <c r="AU4" s="57">
        <v>131.76499999999999</v>
      </c>
      <c r="AV4" s="57"/>
      <c r="AW4" s="57"/>
      <c r="AX4" s="57"/>
      <c r="AY4" s="57"/>
      <c r="AZ4" s="57">
        <v>32.871000000000002</v>
      </c>
      <c r="BA4" s="57">
        <v>328.71499999999997</v>
      </c>
      <c r="BB4" s="58">
        <f t="shared" ref="BB4:BB36" si="0">B4+D4+F4+H4+J4+L4+N4+P4+R4+T4+V4+X4+Z4+AB4+AD4+AF4+AH4+AJ4+AL4+AN4+AP4+AR4+AT4+AV4+AX4+AZ4</f>
        <v>940.74400000000014</v>
      </c>
      <c r="BC4" s="58">
        <f t="shared" ref="BC4:BC36" si="1">C4+E4+G4+I4+K4+M4+O4+Q4+S4+U4+W4+Y4+AA4+AC4+AE4+AG4+AI4+AK4+AM4+AO4+AQ4+AS4+AU4+AW4+AY4+BA4</f>
        <v>13939.078</v>
      </c>
    </row>
    <row r="5" spans="1:55" ht="19.5" customHeight="1" x14ac:dyDescent="0.2">
      <c r="A5" s="30" t="s">
        <v>13</v>
      </c>
      <c r="B5" s="57"/>
      <c r="C5" s="57"/>
      <c r="D5" s="57"/>
      <c r="E5" s="57"/>
      <c r="F5" s="57">
        <v>14.07</v>
      </c>
      <c r="G5" s="57">
        <v>30.945</v>
      </c>
      <c r="H5" s="57"/>
      <c r="I5" s="57"/>
      <c r="J5" s="57">
        <v>6.1319999999999997</v>
      </c>
      <c r="K5" s="57">
        <v>18.186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>
        <v>3.452</v>
      </c>
      <c r="W5" s="57">
        <v>4.7205000000000004</v>
      </c>
      <c r="X5" s="57"/>
      <c r="Y5" s="57"/>
      <c r="Z5" s="57"/>
      <c r="AA5" s="57"/>
      <c r="AB5" s="57"/>
      <c r="AC5" s="57"/>
      <c r="AD5" s="57"/>
      <c r="AE5" s="57"/>
      <c r="AF5" s="58">
        <f>'Citrus 2012-13'!J5</f>
        <v>39.396000000000001</v>
      </c>
      <c r="AG5" s="58">
        <f>'Citrus 2012-13'!K5</f>
        <v>176.70699999999999</v>
      </c>
      <c r="AH5" s="57"/>
      <c r="AI5" s="57"/>
      <c r="AJ5" s="57"/>
      <c r="AK5" s="57"/>
      <c r="AL5" s="57"/>
      <c r="AM5" s="57"/>
      <c r="AN5" s="57">
        <v>12.28</v>
      </c>
      <c r="AO5" s="57">
        <v>67.58</v>
      </c>
      <c r="AP5" s="57"/>
      <c r="AQ5" s="57"/>
      <c r="AR5" s="57"/>
      <c r="AS5" s="57"/>
      <c r="AT5" s="57"/>
      <c r="AU5" s="57"/>
      <c r="AV5" s="57"/>
      <c r="AW5" s="57"/>
      <c r="AX5" s="57">
        <v>4.8049999999999997</v>
      </c>
      <c r="AY5" s="57">
        <v>0.57399999999999995</v>
      </c>
      <c r="AZ5" s="57">
        <v>6.7270000000000003</v>
      </c>
      <c r="BA5" s="57">
        <v>13.53</v>
      </c>
      <c r="BB5" s="58">
        <f t="shared" si="0"/>
        <v>86.861999999999995</v>
      </c>
      <c r="BC5" s="58">
        <f t="shared" si="1"/>
        <v>312.24249999999995</v>
      </c>
    </row>
    <row r="6" spans="1:55" ht="19.5" customHeight="1" x14ac:dyDescent="0.2">
      <c r="A6" s="27" t="s">
        <v>14</v>
      </c>
      <c r="B6" s="57"/>
      <c r="C6" s="57"/>
      <c r="D6" s="57">
        <v>0.89</v>
      </c>
      <c r="E6" s="57">
        <v>16.02</v>
      </c>
      <c r="F6" s="57"/>
      <c r="G6" s="57"/>
      <c r="H6" s="57"/>
      <c r="I6" s="57"/>
      <c r="J6" s="57">
        <v>51.509</v>
      </c>
      <c r="K6" s="57">
        <v>837.02099999999996</v>
      </c>
      <c r="L6" s="57"/>
      <c r="M6" s="57"/>
      <c r="N6" s="57"/>
      <c r="O6" s="57"/>
      <c r="P6" s="57"/>
      <c r="Q6" s="57"/>
      <c r="R6" s="57">
        <v>5.2649999999999997</v>
      </c>
      <c r="S6" s="57">
        <v>105.82599999999999</v>
      </c>
      <c r="T6" s="57">
        <v>23.533000000000001</v>
      </c>
      <c r="U6" s="57">
        <v>224.15100000000001</v>
      </c>
      <c r="V6" s="57"/>
      <c r="W6" s="57"/>
      <c r="X6" s="57">
        <v>5.6280000000000001</v>
      </c>
      <c r="Y6" s="57">
        <v>49.639000000000003</v>
      </c>
      <c r="Z6" s="57">
        <v>5.3920000000000003</v>
      </c>
      <c r="AA6" s="57">
        <v>55.268000000000001</v>
      </c>
      <c r="AB6" s="57">
        <v>8.7360000000000007</v>
      </c>
      <c r="AC6" s="57">
        <v>174.589</v>
      </c>
      <c r="AD6" s="57"/>
      <c r="AE6" s="57"/>
      <c r="AF6" s="58">
        <f>'Citrus 2012-13'!J6</f>
        <v>30.197000000000003</v>
      </c>
      <c r="AG6" s="58">
        <f>'Citrus 2012-13'!K6</f>
        <v>323.39000000000004</v>
      </c>
      <c r="AH6" s="57"/>
      <c r="AI6" s="57"/>
      <c r="AJ6" s="57"/>
      <c r="AK6" s="57"/>
      <c r="AL6" s="57"/>
      <c r="AM6" s="57"/>
      <c r="AN6" s="57">
        <v>16.234999999999999</v>
      </c>
      <c r="AO6" s="57">
        <v>268.81900000000002</v>
      </c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>
        <v>3.3220000000000001</v>
      </c>
      <c r="BA6" s="57">
        <v>19.096</v>
      </c>
      <c r="BB6" s="58">
        <f t="shared" si="0"/>
        <v>150.70699999999999</v>
      </c>
      <c r="BC6" s="58">
        <f t="shared" si="1"/>
        <v>2073.819</v>
      </c>
    </row>
    <row r="7" spans="1:55" ht="19.5" customHeight="1" x14ac:dyDescent="0.2">
      <c r="A7" s="27" t="s">
        <v>15</v>
      </c>
      <c r="B7" s="57"/>
      <c r="C7" s="57"/>
      <c r="D7" s="57">
        <v>1.76</v>
      </c>
      <c r="E7" s="57">
        <v>16.789000000000001</v>
      </c>
      <c r="F7" s="57"/>
      <c r="G7" s="57"/>
      <c r="H7" s="57"/>
      <c r="I7" s="57"/>
      <c r="J7" s="57">
        <v>33.061999999999998</v>
      </c>
      <c r="K7" s="57">
        <v>1702.412</v>
      </c>
      <c r="L7" s="57">
        <v>0.47399999999999998</v>
      </c>
      <c r="M7" s="57">
        <v>2.7789999999999999</v>
      </c>
      <c r="N7" s="57">
        <v>0.17599999999999999</v>
      </c>
      <c r="O7" s="57">
        <v>0.86399999999999999</v>
      </c>
      <c r="P7" s="57"/>
      <c r="Q7" s="57"/>
      <c r="R7" s="57">
        <v>29.74</v>
      </c>
      <c r="S7" s="57">
        <v>259.476</v>
      </c>
      <c r="T7" s="57">
        <v>0.72799999999999998</v>
      </c>
      <c r="U7" s="57">
        <v>11.992000000000001</v>
      </c>
      <c r="V7" s="57"/>
      <c r="W7" s="57"/>
      <c r="X7" s="57">
        <v>31.277999999999999</v>
      </c>
      <c r="Y7" s="57">
        <v>256.42700000000002</v>
      </c>
      <c r="Z7" s="57">
        <v>147.738</v>
      </c>
      <c r="AA7" s="57">
        <v>1363.8030000000001</v>
      </c>
      <c r="AB7" s="57">
        <v>1.8120000000000001</v>
      </c>
      <c r="AC7" s="57">
        <v>44.280999999999999</v>
      </c>
      <c r="AD7" s="57"/>
      <c r="AE7" s="57"/>
      <c r="AF7" s="58">
        <f>'Citrus 2012-13'!J7</f>
        <v>18.04</v>
      </c>
      <c r="AG7" s="58">
        <f>'Citrus 2012-13'!K7</f>
        <v>136.42099999999999</v>
      </c>
      <c r="AH7" s="57"/>
      <c r="AI7" s="57"/>
      <c r="AJ7" s="57"/>
      <c r="AK7" s="57"/>
      <c r="AL7" s="57"/>
      <c r="AM7" s="57"/>
      <c r="AN7" s="57">
        <v>5.1280000000000001</v>
      </c>
      <c r="AO7" s="57">
        <v>139.21700000000001</v>
      </c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>
        <v>31.518000000000001</v>
      </c>
      <c r="BA7" s="57">
        <v>314.72500000000002</v>
      </c>
      <c r="BB7" s="58">
        <f t="shared" si="0"/>
        <v>301.45399999999995</v>
      </c>
      <c r="BC7" s="58">
        <f t="shared" si="1"/>
        <v>4249.1860000000006</v>
      </c>
    </row>
    <row r="8" spans="1:55" ht="19.5" customHeight="1" x14ac:dyDescent="0.2">
      <c r="A8" s="27" t="s">
        <v>223</v>
      </c>
      <c r="B8" s="57"/>
      <c r="C8" s="57"/>
      <c r="D8" s="57">
        <v>2.86</v>
      </c>
      <c r="E8" s="57">
        <v>38.11</v>
      </c>
      <c r="F8" s="57"/>
      <c r="G8" s="57"/>
      <c r="H8" s="57"/>
      <c r="I8" s="57"/>
      <c r="J8" s="57">
        <v>18.68</v>
      </c>
      <c r="K8" s="57">
        <v>413.4</v>
      </c>
      <c r="L8" s="57">
        <v>4.72</v>
      </c>
      <c r="M8" s="57">
        <v>116.92</v>
      </c>
      <c r="N8" s="57">
        <v>6.74</v>
      </c>
      <c r="O8" s="57">
        <v>28.18</v>
      </c>
      <c r="P8" s="57"/>
      <c r="Q8" s="57"/>
      <c r="R8" s="57">
        <v>17.12</v>
      </c>
      <c r="S8" s="57">
        <v>140.91</v>
      </c>
      <c r="T8" s="57">
        <v>7.23</v>
      </c>
      <c r="U8" s="57">
        <v>109.23</v>
      </c>
      <c r="V8" s="57"/>
      <c r="W8" s="57"/>
      <c r="X8" s="57">
        <v>4.99</v>
      </c>
      <c r="Y8" s="57">
        <v>30.89</v>
      </c>
      <c r="Z8" s="57">
        <v>60.15</v>
      </c>
      <c r="AA8" s="57">
        <v>291.83</v>
      </c>
      <c r="AB8" s="57">
        <v>11.88</v>
      </c>
      <c r="AC8" s="57">
        <v>289.89</v>
      </c>
      <c r="AD8" s="57"/>
      <c r="AE8" s="57"/>
      <c r="AF8" s="58">
        <f>'Citrus 2012-13'!J8</f>
        <v>12.15</v>
      </c>
      <c r="AG8" s="58">
        <f>'Citrus 2012-13'!K8</f>
        <v>80.73</v>
      </c>
      <c r="AH8" s="57"/>
      <c r="AI8" s="57"/>
      <c r="AJ8" s="57">
        <v>0.83</v>
      </c>
      <c r="AK8" s="57">
        <v>1.64</v>
      </c>
      <c r="AL8" s="57"/>
      <c r="AM8" s="57"/>
      <c r="AN8" s="57"/>
      <c r="AO8" s="57"/>
      <c r="AP8" s="57"/>
      <c r="AQ8" s="57"/>
      <c r="AR8" s="57">
        <v>0.14000000000000001</v>
      </c>
      <c r="AS8" s="57">
        <v>0.41</v>
      </c>
      <c r="AT8" s="57">
        <v>0.2</v>
      </c>
      <c r="AU8" s="57">
        <v>0.84</v>
      </c>
      <c r="AV8" s="57"/>
      <c r="AW8" s="57"/>
      <c r="AX8" s="57"/>
      <c r="AY8" s="57"/>
      <c r="AZ8" s="57">
        <v>47.92</v>
      </c>
      <c r="BA8" s="57">
        <v>159.34</v>
      </c>
      <c r="BB8" s="58">
        <f t="shared" si="0"/>
        <v>195.61</v>
      </c>
      <c r="BC8" s="58">
        <f t="shared" si="1"/>
        <v>1702.3199999999997</v>
      </c>
    </row>
    <row r="9" spans="1:55" ht="19.5" customHeight="1" x14ac:dyDescent="0.2">
      <c r="A9" s="27" t="s">
        <v>16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8">
        <f>'Citrus 2012-13'!J9</f>
        <v>0</v>
      </c>
      <c r="AG9" s="58">
        <f>'Citrus 2012-13'!K9</f>
        <v>0</v>
      </c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8">
        <f t="shared" si="0"/>
        <v>0</v>
      </c>
      <c r="BC9" s="58">
        <f t="shared" si="1"/>
        <v>0</v>
      </c>
    </row>
    <row r="10" spans="1:55" ht="19.5" customHeight="1" x14ac:dyDescent="0.2">
      <c r="A10" s="27" t="s">
        <v>17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8">
        <f>'Citrus 2012-13'!J10</f>
        <v>0</v>
      </c>
      <c r="AG10" s="58">
        <f>'Citrus 2012-13'!K10</f>
        <v>0</v>
      </c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8">
        <f t="shared" si="0"/>
        <v>0</v>
      </c>
      <c r="BC10" s="58">
        <f t="shared" si="1"/>
        <v>0</v>
      </c>
    </row>
    <row r="11" spans="1:55" ht="19.5" customHeight="1" x14ac:dyDescent="0.2">
      <c r="A11" s="27" t="s">
        <v>18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8">
        <f>'Citrus 2012-13'!J11</f>
        <v>0</v>
      </c>
      <c r="AG11" s="58">
        <f>'Citrus 2012-13'!K11</f>
        <v>0</v>
      </c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8">
        <f t="shared" si="0"/>
        <v>0</v>
      </c>
      <c r="BC11" s="58">
        <f t="shared" si="1"/>
        <v>0</v>
      </c>
    </row>
    <row r="12" spans="1:55" ht="19.5" customHeight="1" x14ac:dyDescent="0.2">
      <c r="A12" s="27" t="s">
        <v>19</v>
      </c>
      <c r="B12" s="57"/>
      <c r="C12" s="57"/>
      <c r="D12" s="57"/>
      <c r="E12" s="57"/>
      <c r="F12" s="57"/>
      <c r="G12" s="57"/>
      <c r="H12" s="57"/>
      <c r="I12" s="57"/>
      <c r="J12" s="57">
        <v>2.2879999999999998</v>
      </c>
      <c r="K12" s="57">
        <v>25.917999999999999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>
        <v>4.7709999999999999</v>
      </c>
      <c r="AA12" s="57">
        <v>9.0359999999999996</v>
      </c>
      <c r="AB12" s="57"/>
      <c r="AC12" s="57"/>
      <c r="AD12" s="57"/>
      <c r="AE12" s="57"/>
      <c r="AF12" s="58">
        <f>'Citrus 2012-13'!J12</f>
        <v>0</v>
      </c>
      <c r="AG12" s="58">
        <f>'Citrus 2012-13'!K12</f>
        <v>0</v>
      </c>
      <c r="AH12" s="57"/>
      <c r="AI12" s="57"/>
      <c r="AJ12" s="57"/>
      <c r="AK12" s="57"/>
      <c r="AL12" s="57"/>
      <c r="AM12" s="57"/>
      <c r="AN12" s="57">
        <v>0.28899999999999998</v>
      </c>
      <c r="AO12" s="57">
        <v>4.8</v>
      </c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>
        <v>3.8149999999999999</v>
      </c>
      <c r="BA12" s="57">
        <v>41.149000000000001</v>
      </c>
      <c r="BB12" s="58">
        <f t="shared" si="0"/>
        <v>11.162999999999998</v>
      </c>
      <c r="BC12" s="58">
        <f t="shared" si="1"/>
        <v>80.902999999999992</v>
      </c>
    </row>
    <row r="13" spans="1:55" ht="19.5" customHeight="1" x14ac:dyDescent="0.2">
      <c r="A13" s="27" t="s">
        <v>20</v>
      </c>
      <c r="B13" s="57"/>
      <c r="C13" s="57"/>
      <c r="D13" s="57">
        <v>11.76</v>
      </c>
      <c r="E13" s="57">
        <v>112.9</v>
      </c>
      <c r="F13" s="57"/>
      <c r="G13" s="57"/>
      <c r="H13" s="57"/>
      <c r="I13" s="57"/>
      <c r="J13" s="57">
        <v>70.58</v>
      </c>
      <c r="K13" s="57">
        <v>4523.49</v>
      </c>
      <c r="L13" s="57">
        <v>12.16</v>
      </c>
      <c r="M13" s="57">
        <v>128.63</v>
      </c>
      <c r="N13" s="57">
        <v>5.13</v>
      </c>
      <c r="O13" s="57">
        <v>56.24</v>
      </c>
      <c r="P13" s="57"/>
      <c r="Q13" s="57"/>
      <c r="R13" s="57">
        <v>10.61</v>
      </c>
      <c r="S13" s="57">
        <v>158.05000000000001</v>
      </c>
      <c r="T13" s="57"/>
      <c r="U13" s="57"/>
      <c r="V13" s="57"/>
      <c r="W13" s="57"/>
      <c r="X13" s="57"/>
      <c r="Y13" s="57"/>
      <c r="Z13" s="57">
        <v>141.26</v>
      </c>
      <c r="AA13" s="57">
        <v>1003.71</v>
      </c>
      <c r="AB13" s="57">
        <v>19.54</v>
      </c>
      <c r="AC13" s="57">
        <v>1189.31</v>
      </c>
      <c r="AD13" s="57"/>
      <c r="AE13" s="57"/>
      <c r="AF13" s="58">
        <f>'Citrus 2012-13'!J13</f>
        <v>40.799999999999997</v>
      </c>
      <c r="AG13" s="58">
        <f>'Citrus 2012-13'!K13</f>
        <v>433.12</v>
      </c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>
        <v>7.4</v>
      </c>
      <c r="AS13" s="57">
        <v>79.02</v>
      </c>
      <c r="AT13" s="57">
        <v>28.8</v>
      </c>
      <c r="AU13" s="57">
        <v>309.89999999999998</v>
      </c>
      <c r="AV13" s="57"/>
      <c r="AW13" s="57"/>
      <c r="AX13" s="57"/>
      <c r="AY13" s="57"/>
      <c r="AZ13" s="57">
        <v>33.46</v>
      </c>
      <c r="BA13" s="57">
        <v>418.8</v>
      </c>
      <c r="BB13" s="58">
        <f t="shared" si="0"/>
        <v>381.5</v>
      </c>
      <c r="BC13" s="58">
        <f t="shared" si="1"/>
        <v>8413.17</v>
      </c>
    </row>
    <row r="14" spans="1:55" ht="19.5" customHeight="1" x14ac:dyDescent="0.2">
      <c r="A14" s="27" t="s">
        <v>21</v>
      </c>
      <c r="B14" s="57"/>
      <c r="C14" s="57"/>
      <c r="D14" s="57">
        <v>1.87</v>
      </c>
      <c r="E14" s="57">
        <v>12.81</v>
      </c>
      <c r="F14" s="57"/>
      <c r="G14" s="57"/>
      <c r="H14" s="57"/>
      <c r="I14" s="57"/>
      <c r="J14" s="57"/>
      <c r="K14" s="57"/>
      <c r="L14" s="57">
        <v>4.26</v>
      </c>
      <c r="M14" s="57">
        <v>44.58</v>
      </c>
      <c r="N14" s="57"/>
      <c r="O14" s="57"/>
      <c r="P14" s="57">
        <v>0.05</v>
      </c>
      <c r="Q14" s="57">
        <v>0.71</v>
      </c>
      <c r="R14" s="57">
        <v>10.38</v>
      </c>
      <c r="S14" s="57">
        <v>107.56</v>
      </c>
      <c r="T14" s="57"/>
      <c r="U14" s="57"/>
      <c r="V14" s="57"/>
      <c r="W14" s="57"/>
      <c r="X14" s="57">
        <v>0.2</v>
      </c>
      <c r="Y14" s="57">
        <v>1.64</v>
      </c>
      <c r="Z14" s="57">
        <v>9.01</v>
      </c>
      <c r="AA14" s="57">
        <v>79.55</v>
      </c>
      <c r="AB14" s="57"/>
      <c r="AC14" s="57"/>
      <c r="AD14" s="57"/>
      <c r="AE14" s="57"/>
      <c r="AF14" s="58">
        <f>'Citrus 2012-13'!J14</f>
        <v>18.78</v>
      </c>
      <c r="AG14" s="58">
        <f>'Citrus 2012-13'!K14</f>
        <v>225.05</v>
      </c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>
        <v>1.48</v>
      </c>
      <c r="AU14" s="57">
        <v>8.27</v>
      </c>
      <c r="AV14" s="57"/>
      <c r="AW14" s="57"/>
      <c r="AX14" s="57"/>
      <c r="AY14" s="57"/>
      <c r="AZ14" s="57">
        <f>0.58+2.92</f>
        <v>3.5</v>
      </c>
      <c r="BA14" s="57">
        <f>8.86+27.04</f>
        <v>35.9</v>
      </c>
      <c r="BB14" s="58">
        <f t="shared" si="0"/>
        <v>49.53</v>
      </c>
      <c r="BC14" s="58">
        <f t="shared" si="1"/>
        <v>516.06999999999994</v>
      </c>
    </row>
    <row r="15" spans="1:55" ht="19.5" customHeight="1" x14ac:dyDescent="0.2">
      <c r="A15" s="27" t="s">
        <v>22</v>
      </c>
      <c r="B15" s="57">
        <v>5.4649999999999999</v>
      </c>
      <c r="C15" s="57">
        <v>1.1339999999999999</v>
      </c>
      <c r="D15" s="57">
        <v>2.153</v>
      </c>
      <c r="E15" s="57">
        <v>2.3079999999999998</v>
      </c>
      <c r="F15" s="57">
        <v>106.23099999999999</v>
      </c>
      <c r="G15" s="57">
        <v>412.39499999999998</v>
      </c>
      <c r="H15" s="57"/>
      <c r="I15" s="57"/>
      <c r="J15" s="57">
        <v>9.2999999999999999E-2</v>
      </c>
      <c r="K15" s="57">
        <v>0.38700000000000001</v>
      </c>
      <c r="L15" s="57">
        <v>3.5999999999999997E-2</v>
      </c>
      <c r="M15" s="57">
        <v>0.01</v>
      </c>
      <c r="N15" s="57"/>
      <c r="O15" s="57"/>
      <c r="P15" s="57">
        <v>0.107</v>
      </c>
      <c r="Q15" s="57">
        <v>0.128</v>
      </c>
      <c r="R15" s="57">
        <v>2.2229999999999999</v>
      </c>
      <c r="S15" s="57">
        <v>2.7610000000000001</v>
      </c>
      <c r="T15" s="57">
        <v>0.65500000000000003</v>
      </c>
      <c r="U15" s="57">
        <v>0.6</v>
      </c>
      <c r="V15" s="57">
        <v>0.115</v>
      </c>
      <c r="W15" s="57">
        <v>0.55500000000000005</v>
      </c>
      <c r="X15" s="57">
        <v>4.7430000000000003</v>
      </c>
      <c r="Y15" s="57">
        <v>3.0590000000000002</v>
      </c>
      <c r="Z15" s="57">
        <v>39.811999999999998</v>
      </c>
      <c r="AA15" s="57">
        <v>50.000999999999998</v>
      </c>
      <c r="AB15" s="57">
        <v>0.215</v>
      </c>
      <c r="AC15" s="57">
        <v>1.175</v>
      </c>
      <c r="AD15" s="57"/>
      <c r="AE15" s="57"/>
      <c r="AF15" s="58">
        <f>'Citrus 2012-13'!J15</f>
        <v>22.803999999999998</v>
      </c>
      <c r="AG15" s="58">
        <f>'Citrus 2012-13'!K15</f>
        <v>24.315999999999999</v>
      </c>
      <c r="AH15" s="57">
        <v>5.1509999999999998</v>
      </c>
      <c r="AI15" s="57">
        <v>11.276</v>
      </c>
      <c r="AJ15" s="57">
        <v>7.2770000000000001</v>
      </c>
      <c r="AK15" s="57">
        <v>25.212</v>
      </c>
      <c r="AL15" s="57"/>
      <c r="AM15" s="57"/>
      <c r="AN15" s="57"/>
      <c r="AO15" s="57"/>
      <c r="AP15" s="57">
        <v>8.5359999999999996</v>
      </c>
      <c r="AQ15" s="57">
        <v>12.106999999999999</v>
      </c>
      <c r="AR15" s="57">
        <v>1.9750000000000001</v>
      </c>
      <c r="AS15" s="57">
        <v>1.351</v>
      </c>
      <c r="AT15" s="57">
        <v>5.1999999999999998E-2</v>
      </c>
      <c r="AU15" s="57">
        <v>1.7999999999999999E-2</v>
      </c>
      <c r="AV15" s="57">
        <v>5.5E-2</v>
      </c>
      <c r="AW15" s="57">
        <v>0.34799999999999998</v>
      </c>
      <c r="AX15" s="57">
        <v>4.5579999999999998</v>
      </c>
      <c r="AY15" s="57">
        <v>1.482</v>
      </c>
      <c r="AZ15" s="57">
        <f>3.582+2.192</f>
        <v>5.774</v>
      </c>
      <c r="BA15" s="57">
        <f>3.263+1.822</f>
        <v>5.085</v>
      </c>
      <c r="BB15" s="58">
        <f t="shared" si="0"/>
        <v>218.02999999999997</v>
      </c>
      <c r="BC15" s="58">
        <f t="shared" si="1"/>
        <v>555.70799999999997</v>
      </c>
    </row>
    <row r="16" spans="1:55" ht="19.5" customHeight="1" x14ac:dyDescent="0.2">
      <c r="A16" s="27" t="s">
        <v>23</v>
      </c>
      <c r="B16" s="56">
        <v>15.932</v>
      </c>
      <c r="C16" s="56">
        <v>8.2080000000000002</v>
      </c>
      <c r="D16" s="56">
        <v>1.53</v>
      </c>
      <c r="E16" s="56">
        <v>1.3240000000000001</v>
      </c>
      <c r="F16" s="56">
        <v>157.28</v>
      </c>
      <c r="G16" s="57">
        <v>1348.1489999999999</v>
      </c>
      <c r="H16" s="57"/>
      <c r="I16" s="57"/>
      <c r="J16" s="57"/>
      <c r="K16" s="57"/>
      <c r="L16" s="57">
        <v>7.9039999999999999</v>
      </c>
      <c r="M16" s="57">
        <v>13.2</v>
      </c>
      <c r="N16" s="57"/>
      <c r="O16" s="57"/>
      <c r="P16" s="57">
        <v>0.34399999999999997</v>
      </c>
      <c r="Q16" s="57">
        <v>0.746</v>
      </c>
      <c r="R16" s="57">
        <v>2.3719999999999999</v>
      </c>
      <c r="S16" s="57">
        <v>5.6920000000000002</v>
      </c>
      <c r="T16" s="57"/>
      <c r="U16" s="57"/>
      <c r="V16" s="57">
        <v>1.7999999999999999E-2</v>
      </c>
      <c r="W16" s="57">
        <v>1E-3</v>
      </c>
      <c r="X16" s="57">
        <v>0.96299999999999997</v>
      </c>
      <c r="Y16" s="57">
        <v>0.96699999999999997</v>
      </c>
      <c r="Z16" s="57">
        <v>12.497999999999999</v>
      </c>
      <c r="AA16" s="57">
        <v>23.09</v>
      </c>
      <c r="AB16" s="57"/>
      <c r="AC16" s="57"/>
      <c r="AD16" s="57"/>
      <c r="AE16" s="57"/>
      <c r="AF16" s="58">
        <f>'Citrus 2012-13'!J16</f>
        <v>13.882</v>
      </c>
      <c r="AG16" s="58">
        <f>'Citrus 2012-13'!K16</f>
        <v>20.814</v>
      </c>
      <c r="AH16" s="57">
        <v>2.7719999999999998</v>
      </c>
      <c r="AI16" s="57">
        <v>4.8550000000000004</v>
      </c>
      <c r="AJ16" s="57">
        <v>13.882999999999999</v>
      </c>
      <c r="AK16" s="57">
        <v>54.847000000000001</v>
      </c>
      <c r="AL16" s="57">
        <v>0.61899999999999999</v>
      </c>
      <c r="AM16" s="57">
        <v>1.2E-2</v>
      </c>
      <c r="AN16" s="57"/>
      <c r="AO16" s="57"/>
      <c r="AP16" s="57">
        <v>4.6280000000000001</v>
      </c>
      <c r="AQ16" s="57">
        <v>8.6820000000000004</v>
      </c>
      <c r="AR16" s="57">
        <v>6.0000000000000001E-3</v>
      </c>
      <c r="AS16" s="57">
        <v>3.0000000000000001E-3</v>
      </c>
      <c r="AT16" s="57"/>
      <c r="AU16" s="57"/>
      <c r="AV16" s="57">
        <v>1.4999999999999999E-2</v>
      </c>
      <c r="AW16" s="57">
        <v>3.0000000000000001E-3</v>
      </c>
      <c r="AX16" s="57">
        <v>93.641000000000005</v>
      </c>
      <c r="AY16" s="57">
        <v>209.05099999999999</v>
      </c>
      <c r="AZ16" s="57">
        <f>6.287+3.728+0.533+0.041+0.074+8.022+0.251</f>
        <v>18.936000000000003</v>
      </c>
      <c r="BA16" s="57">
        <f>14.501+11.122+0.022+0.651+15.924+0.278</f>
        <v>42.497999999999998</v>
      </c>
      <c r="BB16" s="58">
        <f t="shared" si="0"/>
        <v>347.2229999999999</v>
      </c>
      <c r="BC16" s="58">
        <f t="shared" si="1"/>
        <v>1742.1419999999998</v>
      </c>
    </row>
    <row r="17" spans="1:55" ht="19.5" customHeight="1" x14ac:dyDescent="0.2">
      <c r="A17" s="27" t="s">
        <v>24</v>
      </c>
      <c r="B17" s="57"/>
      <c r="C17" s="57"/>
      <c r="D17" s="57">
        <v>7.7960000000000003</v>
      </c>
      <c r="E17" s="57">
        <v>33.729999999999997</v>
      </c>
      <c r="F17" s="57"/>
      <c r="G17" s="57"/>
      <c r="H17" s="57">
        <v>0.71</v>
      </c>
      <c r="I17" s="57">
        <v>1.76</v>
      </c>
      <c r="J17" s="57">
        <v>0.52</v>
      </c>
      <c r="K17" s="57">
        <v>1.26</v>
      </c>
      <c r="L17" s="57">
        <v>1.1100000000000001</v>
      </c>
      <c r="M17" s="57">
        <v>1.21</v>
      </c>
      <c r="N17" s="57"/>
      <c r="O17" s="57"/>
      <c r="P17" s="57"/>
      <c r="Q17" s="57"/>
      <c r="R17" s="57">
        <v>8.64</v>
      </c>
      <c r="S17" s="57">
        <v>95.37</v>
      </c>
      <c r="T17" s="57">
        <v>2.1</v>
      </c>
      <c r="U17" s="57">
        <v>20.12</v>
      </c>
      <c r="V17" s="57"/>
      <c r="W17" s="57"/>
      <c r="X17" s="57">
        <v>5.2729999999999997</v>
      </c>
      <c r="Y17" s="57">
        <v>58.234999999999999</v>
      </c>
      <c r="Z17" s="57">
        <v>51.326000000000001</v>
      </c>
      <c r="AA17" s="57">
        <v>517.91800000000001</v>
      </c>
      <c r="AB17" s="57">
        <v>0.51</v>
      </c>
      <c r="AC17" s="57">
        <v>5.1100000000000003</v>
      </c>
      <c r="AD17" s="57"/>
      <c r="AE17" s="57"/>
      <c r="AF17" s="58">
        <f>'Citrus 2012-13'!J17</f>
        <v>8.7899999999999991</v>
      </c>
      <c r="AG17" s="58">
        <f>'Citrus 2012-13'!K17</f>
        <v>87.667000000000002</v>
      </c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>
        <v>0.51</v>
      </c>
      <c r="AS17" s="57">
        <v>2.1</v>
      </c>
      <c r="AT17" s="57"/>
      <c r="AU17" s="57"/>
      <c r="AV17" s="57"/>
      <c r="AW17" s="57"/>
      <c r="AX17" s="57"/>
      <c r="AY17" s="57"/>
      <c r="AZ17" s="57">
        <v>5.7270000000000003</v>
      </c>
      <c r="BA17" s="57">
        <v>65.257000000000005</v>
      </c>
      <c r="BB17" s="58">
        <f t="shared" si="0"/>
        <v>93.012000000000015</v>
      </c>
      <c r="BC17" s="58">
        <f t="shared" si="1"/>
        <v>889.73700000000008</v>
      </c>
    </row>
    <row r="18" spans="1:55" ht="19.5" customHeight="1" x14ac:dyDescent="0.2">
      <c r="A18" s="27" t="s">
        <v>25</v>
      </c>
      <c r="B18" s="57"/>
      <c r="C18" s="57"/>
      <c r="D18" s="57">
        <v>0.2</v>
      </c>
      <c r="E18" s="57">
        <v>0.7</v>
      </c>
      <c r="F18" s="57"/>
      <c r="G18" s="57"/>
      <c r="H18" s="57"/>
      <c r="I18" s="57"/>
      <c r="J18" s="57">
        <v>97.4</v>
      </c>
      <c r="K18" s="57">
        <v>2529.6</v>
      </c>
      <c r="L18" s="57">
        <v>0.9</v>
      </c>
      <c r="M18" s="57">
        <v>25.9</v>
      </c>
      <c r="N18" s="57">
        <v>1.7</v>
      </c>
      <c r="O18" s="57">
        <v>13.6</v>
      </c>
      <c r="P18" s="57">
        <v>19.7</v>
      </c>
      <c r="Q18" s="57">
        <v>320.89999999999998</v>
      </c>
      <c r="R18" s="57">
        <v>6.8</v>
      </c>
      <c r="S18" s="57">
        <v>134.9</v>
      </c>
      <c r="T18" s="57">
        <v>5.5</v>
      </c>
      <c r="U18" s="57">
        <v>210.9</v>
      </c>
      <c r="V18" s="57"/>
      <c r="W18" s="57"/>
      <c r="X18" s="57"/>
      <c r="Y18" s="57"/>
      <c r="Z18" s="57">
        <v>178.8</v>
      </c>
      <c r="AA18" s="57">
        <v>1795.1</v>
      </c>
      <c r="AB18" s="57">
        <v>6.6</v>
      </c>
      <c r="AC18" s="57">
        <v>460.2</v>
      </c>
      <c r="AD18" s="57"/>
      <c r="AE18" s="57"/>
      <c r="AF18" s="58">
        <f>'Citrus 2012-13'!J18</f>
        <v>18.099999999999998</v>
      </c>
      <c r="AG18" s="58">
        <f>'Citrus 2012-13'!K18</f>
        <v>399</v>
      </c>
      <c r="AH18" s="57"/>
      <c r="AI18" s="57"/>
      <c r="AJ18" s="57"/>
      <c r="AK18" s="57"/>
      <c r="AL18" s="57"/>
      <c r="AM18" s="57"/>
      <c r="AN18" s="57">
        <v>2.7</v>
      </c>
      <c r="AO18" s="57">
        <v>169.3</v>
      </c>
      <c r="AP18" s="57"/>
      <c r="AQ18" s="57"/>
      <c r="AR18" s="57">
        <v>15.1</v>
      </c>
      <c r="AS18" s="57">
        <v>150.30000000000001</v>
      </c>
      <c r="AT18" s="57">
        <v>31.7</v>
      </c>
      <c r="AU18" s="57">
        <v>373.3</v>
      </c>
      <c r="AV18" s="57"/>
      <c r="AW18" s="57"/>
      <c r="AX18" s="57"/>
      <c r="AY18" s="57"/>
      <c r="AZ18" s="57">
        <v>3</v>
      </c>
      <c r="BA18" s="57">
        <v>35.9</v>
      </c>
      <c r="BB18" s="58">
        <f t="shared" si="0"/>
        <v>388.20000000000005</v>
      </c>
      <c r="BC18" s="58">
        <f t="shared" si="1"/>
        <v>6619.6</v>
      </c>
    </row>
    <row r="19" spans="1:55" ht="19.5" customHeight="1" x14ac:dyDescent="0.2">
      <c r="A19" s="27" t="s">
        <v>26</v>
      </c>
      <c r="B19" s="57"/>
      <c r="C19" s="57"/>
      <c r="D19" s="57"/>
      <c r="E19" s="57"/>
      <c r="F19" s="57"/>
      <c r="G19" s="57"/>
      <c r="H19" s="57"/>
      <c r="I19" s="57"/>
      <c r="J19" s="57">
        <v>61.011000000000003</v>
      </c>
      <c r="K19" s="57">
        <v>515.60699999999997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>
        <v>74.441999999999993</v>
      </c>
      <c r="AA19" s="57">
        <v>441.03300000000002</v>
      </c>
      <c r="AB19" s="57">
        <v>16.463999999999999</v>
      </c>
      <c r="AC19" s="57">
        <v>96.924999999999997</v>
      </c>
      <c r="AD19" s="57"/>
      <c r="AE19" s="57"/>
      <c r="AF19" s="58">
        <f>'Citrus 2012-13'!J19</f>
        <v>0</v>
      </c>
      <c r="AG19" s="58">
        <f>'Citrus 2012-13'!K19</f>
        <v>0</v>
      </c>
      <c r="AH19" s="57"/>
      <c r="AI19" s="57"/>
      <c r="AJ19" s="57"/>
      <c r="AK19" s="57"/>
      <c r="AL19" s="57"/>
      <c r="AM19" s="57"/>
      <c r="AN19" s="57">
        <v>8.5399999999999991</v>
      </c>
      <c r="AO19" s="57">
        <v>72.856999999999999</v>
      </c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>
        <v>154.1</v>
      </c>
      <c r="BA19" s="57">
        <v>1457.5</v>
      </c>
      <c r="BB19" s="58">
        <f t="shared" si="0"/>
        <v>314.55700000000002</v>
      </c>
      <c r="BC19" s="58">
        <f t="shared" si="1"/>
        <v>2583.922</v>
      </c>
    </row>
    <row r="20" spans="1:55" ht="19.5" customHeight="1" x14ac:dyDescent="0.2">
      <c r="A20" s="27" t="s">
        <v>58</v>
      </c>
      <c r="B20" s="57"/>
      <c r="C20" s="57"/>
      <c r="D20" s="57"/>
      <c r="E20" s="57"/>
      <c r="F20" s="57"/>
      <c r="G20" s="57"/>
      <c r="H20" s="57"/>
      <c r="I20" s="57"/>
      <c r="J20" s="57">
        <v>0.13</v>
      </c>
      <c r="K20" s="57">
        <v>0.3</v>
      </c>
      <c r="L20" s="57"/>
      <c r="M20" s="57"/>
      <c r="N20" s="57"/>
      <c r="O20" s="57"/>
      <c r="P20" s="57"/>
      <c r="Q20" s="57"/>
      <c r="R20" s="57">
        <v>1.2E-2</v>
      </c>
      <c r="S20" s="57">
        <v>2.3900000000000001E-2</v>
      </c>
      <c r="T20" s="57"/>
      <c r="U20" s="57"/>
      <c r="V20" s="57"/>
      <c r="W20" s="57"/>
      <c r="X20" s="57"/>
      <c r="Y20" s="57"/>
      <c r="Z20" s="57"/>
      <c r="AA20" s="57"/>
      <c r="AB20" s="57">
        <v>2.5000000000000001E-2</v>
      </c>
      <c r="AC20" s="57">
        <v>0.06</v>
      </c>
      <c r="AD20" s="57"/>
      <c r="AE20" s="57"/>
      <c r="AF20" s="58">
        <f>'Citrus 2012-13'!J20</f>
        <v>0</v>
      </c>
      <c r="AG20" s="58">
        <f>'Citrus 2012-13'!K20</f>
        <v>0</v>
      </c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>
        <v>5.0000000000000001E-3</v>
      </c>
      <c r="AS20" s="57">
        <v>4.5500000000000002E-3</v>
      </c>
      <c r="AT20" s="57">
        <v>0.01</v>
      </c>
      <c r="AU20" s="57">
        <v>0.03</v>
      </c>
      <c r="AV20" s="57"/>
      <c r="AW20" s="57"/>
      <c r="AX20" s="57"/>
      <c r="AY20" s="57"/>
      <c r="AZ20" s="57">
        <v>0.04</v>
      </c>
      <c r="BA20" s="57">
        <v>6.5000000000000002E-2</v>
      </c>
      <c r="BB20" s="58">
        <f t="shared" si="0"/>
        <v>0.22200000000000003</v>
      </c>
      <c r="BC20" s="58">
        <f t="shared" si="1"/>
        <v>0.48344999999999999</v>
      </c>
    </row>
    <row r="21" spans="1:55" ht="19.5" customHeight="1" x14ac:dyDescent="0.2">
      <c r="A21" s="27" t="s">
        <v>27</v>
      </c>
      <c r="B21" s="57"/>
      <c r="C21" s="57"/>
      <c r="D21" s="57">
        <v>13.7</v>
      </c>
      <c r="E21" s="57">
        <v>367</v>
      </c>
      <c r="F21" s="57"/>
      <c r="G21" s="57"/>
      <c r="H21" s="57"/>
      <c r="I21" s="57"/>
      <c r="J21" s="57">
        <v>25.757000000000001</v>
      </c>
      <c r="K21" s="57">
        <v>1701</v>
      </c>
      <c r="L21" s="57">
        <v>4.1470000000000002</v>
      </c>
      <c r="M21" s="57">
        <v>44</v>
      </c>
      <c r="N21" s="57"/>
      <c r="O21" s="57"/>
      <c r="P21" s="57">
        <v>0.15</v>
      </c>
      <c r="Q21" s="57">
        <v>2</v>
      </c>
      <c r="R21" s="57">
        <v>21.282</v>
      </c>
      <c r="S21" s="57">
        <v>801</v>
      </c>
      <c r="T21" s="57">
        <v>2.7930000000000001</v>
      </c>
      <c r="U21" s="57">
        <v>106</v>
      </c>
      <c r="V21" s="57"/>
      <c r="W21" s="57"/>
      <c r="X21" s="57"/>
      <c r="Y21" s="57"/>
      <c r="Z21" s="57">
        <v>25.183</v>
      </c>
      <c r="AA21" s="57">
        <v>376</v>
      </c>
      <c r="AB21" s="57">
        <v>12.536</v>
      </c>
      <c r="AC21" s="57">
        <v>413</v>
      </c>
      <c r="AD21" s="57"/>
      <c r="AE21" s="57"/>
      <c r="AF21" s="58">
        <f>'Citrus 2012-13'!J21</f>
        <v>68.72999999999999</v>
      </c>
      <c r="AG21" s="58">
        <f>'Citrus 2012-13'!K21</f>
        <v>1188</v>
      </c>
      <c r="AH21" s="57"/>
      <c r="AI21" s="57"/>
      <c r="AJ21" s="57"/>
      <c r="AK21" s="57"/>
      <c r="AL21" s="57"/>
      <c r="AM21" s="57"/>
      <c r="AP21" s="57"/>
      <c r="AQ21" s="57"/>
      <c r="AR21" s="57">
        <v>2.161</v>
      </c>
      <c r="AS21" s="57">
        <v>23</v>
      </c>
      <c r="AT21" s="57"/>
      <c r="AU21" s="57"/>
      <c r="AV21" s="57"/>
      <c r="AW21" s="57"/>
      <c r="AX21" s="57"/>
      <c r="AY21" s="57"/>
      <c r="AZ21" s="57">
        <f>18.695+0.222</f>
        <v>18.917000000000002</v>
      </c>
      <c r="BA21" s="57">
        <f>428+1</f>
        <v>429</v>
      </c>
      <c r="BB21" s="58">
        <f t="shared" si="0"/>
        <v>195.35599999999999</v>
      </c>
      <c r="BC21" s="58">
        <f t="shared" si="1"/>
        <v>5450</v>
      </c>
    </row>
    <row r="22" spans="1:55" ht="19.5" customHeight="1" x14ac:dyDescent="0.2">
      <c r="A22" s="27" t="s">
        <v>28</v>
      </c>
      <c r="B22" s="57"/>
      <c r="C22" s="57"/>
      <c r="D22" s="57"/>
      <c r="E22" s="57"/>
      <c r="F22" s="57"/>
      <c r="G22" s="57"/>
      <c r="H22" s="57"/>
      <c r="I22" s="57"/>
      <c r="J22" s="57">
        <v>82</v>
      </c>
      <c r="K22" s="57">
        <v>3600</v>
      </c>
      <c r="L22" s="57"/>
      <c r="M22" s="57"/>
      <c r="N22" s="57"/>
      <c r="O22" s="57"/>
      <c r="P22" s="57">
        <v>90</v>
      </c>
      <c r="Q22" s="57">
        <v>2050</v>
      </c>
      <c r="R22" s="57">
        <v>39</v>
      </c>
      <c r="S22" s="57">
        <v>305</v>
      </c>
      <c r="T22" s="57"/>
      <c r="U22" s="57"/>
      <c r="V22" s="57"/>
      <c r="W22" s="57"/>
      <c r="X22" s="57"/>
      <c r="Y22" s="57"/>
      <c r="Z22" s="57">
        <v>482</v>
      </c>
      <c r="AA22" s="57">
        <v>633</v>
      </c>
      <c r="AB22" s="57">
        <v>10</v>
      </c>
      <c r="AC22" s="57">
        <v>363</v>
      </c>
      <c r="AD22" s="57"/>
      <c r="AE22" s="57"/>
      <c r="AF22" s="58">
        <f>'Citrus 2012-13'!J22</f>
        <v>277</v>
      </c>
      <c r="AG22" s="58">
        <f>'Citrus 2012-13'!K22</f>
        <v>861</v>
      </c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>
        <v>78</v>
      </c>
      <c r="AS22" s="57">
        <v>408</v>
      </c>
      <c r="AT22" s="57">
        <v>73</v>
      </c>
      <c r="AU22" s="57">
        <v>365</v>
      </c>
      <c r="AV22" s="57"/>
      <c r="AW22" s="57"/>
      <c r="AX22" s="57"/>
      <c r="AY22" s="57"/>
      <c r="AZ22" s="57">
        <v>418</v>
      </c>
      <c r="BA22" s="57">
        <v>1200</v>
      </c>
      <c r="BB22" s="58">
        <f t="shared" si="0"/>
        <v>1549</v>
      </c>
      <c r="BC22" s="58">
        <f t="shared" si="1"/>
        <v>9785</v>
      </c>
    </row>
    <row r="23" spans="1:55" ht="19.5" customHeight="1" x14ac:dyDescent="0.2">
      <c r="A23" s="31" t="s">
        <v>29</v>
      </c>
      <c r="B23" s="57"/>
      <c r="C23" s="57"/>
      <c r="D23" s="57"/>
      <c r="E23" s="57"/>
      <c r="F23" s="57"/>
      <c r="G23" s="57"/>
      <c r="H23" s="57"/>
      <c r="I23" s="57"/>
      <c r="J23" s="57">
        <v>6.58</v>
      </c>
      <c r="K23" s="57">
        <v>88.18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>
        <v>8.99</v>
      </c>
      <c r="AE23" s="57">
        <v>80.95</v>
      </c>
      <c r="AF23" s="58">
        <f>'Citrus 2012-13'!J23</f>
        <v>10.67</v>
      </c>
      <c r="AG23" s="58">
        <f>'Citrus 2012-13'!K23</f>
        <v>72.8</v>
      </c>
      <c r="AH23" s="57"/>
      <c r="AI23" s="57"/>
      <c r="AJ23" s="57"/>
      <c r="AK23" s="57"/>
      <c r="AL23" s="57"/>
      <c r="AM23" s="57"/>
      <c r="AN23" s="57">
        <v>13.06</v>
      </c>
      <c r="AO23" s="57">
        <v>124.14</v>
      </c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>
        <v>12.63</v>
      </c>
      <c r="BA23" s="57">
        <v>74.52</v>
      </c>
      <c r="BB23" s="58">
        <f t="shared" si="0"/>
        <v>51.930000000000007</v>
      </c>
      <c r="BC23" s="58">
        <f t="shared" si="1"/>
        <v>440.59</v>
      </c>
    </row>
    <row r="24" spans="1:55" ht="19.5" customHeight="1" x14ac:dyDescent="0.2">
      <c r="A24" s="27" t="s">
        <v>30</v>
      </c>
      <c r="B24" s="57"/>
      <c r="C24" s="57"/>
      <c r="D24" s="57"/>
      <c r="E24" s="57"/>
      <c r="F24" s="57"/>
      <c r="G24" s="57"/>
      <c r="H24" s="57"/>
      <c r="I24" s="57"/>
      <c r="J24" s="57">
        <v>6.9589999999999996</v>
      </c>
      <c r="K24" s="57">
        <v>83.988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>
        <v>0.70799999999999996</v>
      </c>
      <c r="AC24" s="57">
        <v>5.5</v>
      </c>
      <c r="AD24" s="57"/>
      <c r="AE24" s="57"/>
      <c r="AF24" s="58">
        <f>'Citrus 2012-13'!J24</f>
        <v>10.029</v>
      </c>
      <c r="AG24" s="58">
        <f>'Citrus 2012-13'!K24</f>
        <v>44.107999999999997</v>
      </c>
      <c r="AH24" s="57"/>
      <c r="AI24" s="57"/>
      <c r="AJ24" s="57"/>
      <c r="AK24" s="57"/>
      <c r="AL24" s="57"/>
      <c r="AM24" s="57"/>
      <c r="AN24" s="57">
        <v>10.816000000000001</v>
      </c>
      <c r="AO24" s="57">
        <v>109.393</v>
      </c>
      <c r="AP24" s="57"/>
      <c r="AQ24" s="57"/>
      <c r="AR24" s="57"/>
      <c r="AS24" s="57"/>
      <c r="AT24" s="57"/>
      <c r="AU24" s="57"/>
      <c r="AV24" s="57">
        <v>9.7000000000000003E-2</v>
      </c>
      <c r="AW24" s="57">
        <v>1.044</v>
      </c>
      <c r="AX24" s="57"/>
      <c r="AY24" s="57"/>
      <c r="AZ24" s="56">
        <f>3.427+1.115</f>
        <v>4.5419999999999998</v>
      </c>
      <c r="BA24" s="57">
        <f>63.581+8.951</f>
        <v>72.532000000000011</v>
      </c>
      <c r="BB24" s="58">
        <f t="shared" si="0"/>
        <v>33.151000000000003</v>
      </c>
      <c r="BC24" s="58">
        <f t="shared" si="1"/>
        <v>316.56500000000005</v>
      </c>
    </row>
    <row r="25" spans="1:55" ht="19.5" customHeight="1" x14ac:dyDescent="0.2">
      <c r="A25" s="27" t="s">
        <v>31</v>
      </c>
      <c r="B25" s="57"/>
      <c r="C25" s="57"/>
      <c r="D25" s="57">
        <v>0.21</v>
      </c>
      <c r="E25" s="57">
        <v>0.09</v>
      </c>
      <c r="F25" s="57"/>
      <c r="G25" s="57"/>
      <c r="H25" s="57"/>
      <c r="I25" s="57"/>
      <c r="J25" s="57">
        <v>10.54</v>
      </c>
      <c r="K25" s="57">
        <v>127.53</v>
      </c>
      <c r="L25" s="57"/>
      <c r="M25" s="57"/>
      <c r="N25" s="57">
        <v>3.0000000000000001E-3</v>
      </c>
      <c r="O25" s="57">
        <v>0.01</v>
      </c>
      <c r="P25" s="57">
        <v>2.38</v>
      </c>
      <c r="Q25" s="57">
        <v>20.8</v>
      </c>
      <c r="R25" s="57">
        <v>0.4</v>
      </c>
      <c r="S25" s="57">
        <v>2.46</v>
      </c>
      <c r="T25" s="57">
        <v>0.05</v>
      </c>
      <c r="U25" s="57">
        <v>2.48</v>
      </c>
      <c r="V25" s="57">
        <v>0.2</v>
      </c>
      <c r="W25" s="57">
        <v>0.69</v>
      </c>
      <c r="X25" s="57">
        <v>0.4</v>
      </c>
      <c r="Y25" s="57">
        <v>1.7</v>
      </c>
      <c r="Z25" s="57">
        <v>0.75</v>
      </c>
      <c r="AA25" s="57">
        <v>3.47</v>
      </c>
      <c r="AB25" s="57">
        <v>1</v>
      </c>
      <c r="AC25" s="57">
        <v>23.1</v>
      </c>
      <c r="AD25" s="57">
        <v>0.7</v>
      </c>
      <c r="AE25" s="57">
        <v>1.47</v>
      </c>
      <c r="AF25" s="58">
        <f>'Citrus 2012-13'!J25</f>
        <v>20.51</v>
      </c>
      <c r="AG25" s="58">
        <f>'Citrus 2012-13'!K25</f>
        <v>60.675000000000004</v>
      </c>
      <c r="AH25" s="57">
        <v>0.05</v>
      </c>
      <c r="AI25" s="57">
        <v>0.38</v>
      </c>
      <c r="AJ25" s="57"/>
      <c r="AK25" s="57"/>
      <c r="AL25" s="57"/>
      <c r="AM25" s="57"/>
      <c r="AN25" s="57">
        <v>3</v>
      </c>
      <c r="AO25" s="57">
        <v>21.96</v>
      </c>
      <c r="AP25" s="57">
        <v>0.12</v>
      </c>
      <c r="AQ25" s="57">
        <v>1.1000000000000001</v>
      </c>
      <c r="AR25" s="57">
        <v>0.01</v>
      </c>
      <c r="AS25" s="57">
        <v>0.02</v>
      </c>
      <c r="AT25" s="57">
        <v>4.0000000000000001E-3</v>
      </c>
      <c r="AU25" s="57">
        <v>0.02</v>
      </c>
      <c r="AV25" s="57"/>
      <c r="AW25" s="57"/>
      <c r="AX25" s="57"/>
      <c r="AY25" s="57"/>
      <c r="AZ25" s="57">
        <f>9.04+0.31+0.007</f>
        <v>9.3569999999999993</v>
      </c>
      <c r="BA25" s="57">
        <f>19.89+5.08+0.02</f>
        <v>24.99</v>
      </c>
      <c r="BB25" s="58">
        <f t="shared" si="0"/>
        <v>49.68399999999999</v>
      </c>
      <c r="BC25" s="58">
        <f t="shared" si="1"/>
        <v>292.94499999999999</v>
      </c>
    </row>
    <row r="26" spans="1:55" ht="19.5" customHeight="1" x14ac:dyDescent="0.2">
      <c r="A26" s="30" t="s">
        <v>32</v>
      </c>
      <c r="B26" s="57"/>
      <c r="C26" s="57"/>
      <c r="D26" s="57">
        <v>0.24</v>
      </c>
      <c r="E26" s="57">
        <v>2.75</v>
      </c>
      <c r="F26" s="57">
        <v>0.1</v>
      </c>
      <c r="G26" s="57">
        <v>0.6</v>
      </c>
      <c r="H26" s="57"/>
      <c r="I26" s="57"/>
      <c r="J26" s="57">
        <v>7</v>
      </c>
      <c r="K26" s="57">
        <v>80</v>
      </c>
      <c r="L26" s="57">
        <v>0.02</v>
      </c>
      <c r="M26" s="57">
        <v>0.12</v>
      </c>
      <c r="N26" s="57"/>
      <c r="O26" s="57"/>
      <c r="P26" s="57">
        <v>0.19</v>
      </c>
      <c r="Q26" s="57">
        <v>0.12</v>
      </c>
      <c r="R26" s="57">
        <v>0.4</v>
      </c>
      <c r="S26" s="57">
        <v>2</v>
      </c>
      <c r="T26" s="57">
        <v>0.14000000000000001</v>
      </c>
      <c r="U26" s="57">
        <v>0.5</v>
      </c>
      <c r="V26" s="57">
        <v>7.3999999999999996E-2</v>
      </c>
      <c r="W26" s="57">
        <v>0.42</v>
      </c>
      <c r="X26" s="57">
        <v>0.3</v>
      </c>
      <c r="Y26" s="57">
        <v>2</v>
      </c>
      <c r="Z26" s="57">
        <v>0.42</v>
      </c>
      <c r="AA26" s="57">
        <v>3</v>
      </c>
      <c r="AB26" s="57">
        <v>1.2</v>
      </c>
      <c r="AC26" s="57">
        <v>7.5</v>
      </c>
      <c r="AD26" s="57">
        <v>7.8</v>
      </c>
      <c r="AE26" s="57">
        <v>17.940000000000001</v>
      </c>
      <c r="AF26" s="58">
        <f>'Citrus 2012-13'!J26</f>
        <v>7.25</v>
      </c>
      <c r="AG26" s="58">
        <f>'Citrus 2012-13'!K26</f>
        <v>62</v>
      </c>
      <c r="AH26" s="57">
        <v>0.3</v>
      </c>
      <c r="AI26" s="57">
        <v>1.6</v>
      </c>
      <c r="AJ26" s="57">
        <v>0.25</v>
      </c>
      <c r="AK26" s="57">
        <v>2</v>
      </c>
      <c r="AL26" s="57"/>
      <c r="AM26" s="57"/>
      <c r="AN26" s="57">
        <v>9</v>
      </c>
      <c r="AO26" s="57">
        <v>85</v>
      </c>
      <c r="AP26" s="57">
        <v>0.35</v>
      </c>
      <c r="AQ26" s="57">
        <v>2</v>
      </c>
      <c r="AR26" s="57">
        <v>0.1</v>
      </c>
      <c r="AS26" s="57">
        <v>0.4</v>
      </c>
      <c r="AT26" s="57"/>
      <c r="AU26" s="57"/>
      <c r="AV26" s="57"/>
      <c r="AW26" s="57"/>
      <c r="AX26" s="57"/>
      <c r="AY26" s="57"/>
      <c r="AZ26" s="57">
        <f>1.5+0.6</f>
        <v>2.1</v>
      </c>
      <c r="BA26" s="57">
        <f>3.5+2.5</f>
        <v>6</v>
      </c>
      <c r="BB26" s="58">
        <f t="shared" si="0"/>
        <v>37.234000000000002</v>
      </c>
      <c r="BC26" s="58">
        <f t="shared" si="1"/>
        <v>275.94999999999993</v>
      </c>
    </row>
    <row r="27" spans="1:55" ht="19.5" customHeight="1" x14ac:dyDescent="0.2">
      <c r="A27" s="27" t="s">
        <v>209</v>
      </c>
      <c r="B27" s="57"/>
      <c r="C27" s="57"/>
      <c r="D27" s="57">
        <v>2.0299999999999998</v>
      </c>
      <c r="E27" s="57">
        <v>0.71</v>
      </c>
      <c r="F27" s="57"/>
      <c r="G27" s="57"/>
      <c r="H27" s="57"/>
      <c r="I27" s="57"/>
      <c r="J27" s="57">
        <v>27.49</v>
      </c>
      <c r="K27" s="57">
        <v>521.30999999999995</v>
      </c>
      <c r="L27" s="57"/>
      <c r="M27" s="57"/>
      <c r="N27" s="57"/>
      <c r="O27" s="57"/>
      <c r="P27" s="57"/>
      <c r="Q27" s="57"/>
      <c r="R27" s="57">
        <v>14.23</v>
      </c>
      <c r="S27" s="57">
        <v>103.73</v>
      </c>
      <c r="T27" s="57"/>
      <c r="U27" s="57"/>
      <c r="V27" s="57"/>
      <c r="W27" s="57"/>
      <c r="X27" s="57">
        <v>4.46</v>
      </c>
      <c r="Y27" s="57">
        <v>20.260000000000002</v>
      </c>
      <c r="Z27" s="57">
        <v>197.46</v>
      </c>
      <c r="AA27" s="57">
        <v>753.79</v>
      </c>
      <c r="AB27" s="57">
        <v>3.73</v>
      </c>
      <c r="AC27" s="57">
        <v>82</v>
      </c>
      <c r="AD27" s="57"/>
      <c r="AE27" s="57"/>
      <c r="AF27" s="58">
        <f>'Citrus 2012-13'!J27</f>
        <v>27.79</v>
      </c>
      <c r="AG27" s="58">
        <f>'Citrus 2012-13'!K27</f>
        <v>270.64999999999998</v>
      </c>
      <c r="AH27" s="57"/>
      <c r="AI27" s="57"/>
      <c r="AJ27" s="57"/>
      <c r="AK27" s="57"/>
      <c r="AL27" s="57"/>
      <c r="AM27" s="57"/>
      <c r="AN27" s="57">
        <v>0.9</v>
      </c>
      <c r="AO27" s="57">
        <v>11</v>
      </c>
      <c r="AP27" s="57"/>
      <c r="AQ27" s="57"/>
      <c r="AR27" s="57">
        <v>0.23</v>
      </c>
      <c r="AS27" s="57">
        <v>0.88</v>
      </c>
      <c r="AT27" s="57">
        <v>3.37</v>
      </c>
      <c r="AU27" s="57">
        <v>15.94</v>
      </c>
      <c r="AV27" s="57"/>
      <c r="AW27" s="57"/>
      <c r="AX27" s="57"/>
      <c r="AY27" s="57"/>
      <c r="AZ27" s="57">
        <v>47.69</v>
      </c>
      <c r="BA27" s="57">
        <v>430.15</v>
      </c>
      <c r="BB27" s="58">
        <f t="shared" si="0"/>
        <v>329.38</v>
      </c>
      <c r="BC27" s="58">
        <f t="shared" si="1"/>
        <v>2210.42</v>
      </c>
    </row>
    <row r="28" spans="1:55" ht="19.5" customHeight="1" x14ac:dyDescent="0.2">
      <c r="A28" s="30" t="s">
        <v>181</v>
      </c>
      <c r="B28" s="57"/>
      <c r="C28" s="57"/>
      <c r="D28" s="57"/>
      <c r="E28" s="57"/>
      <c r="F28" s="57"/>
      <c r="G28" s="57"/>
      <c r="H28" s="57"/>
      <c r="I28" s="57"/>
      <c r="J28" s="57">
        <v>0.123</v>
      </c>
      <c r="K28" s="57">
        <v>4.7690000000000001</v>
      </c>
      <c r="L28" s="57"/>
      <c r="M28" s="57"/>
      <c r="N28" s="57"/>
      <c r="O28" s="57"/>
      <c r="P28" s="57"/>
      <c r="Q28" s="57"/>
      <c r="R28" s="57">
        <v>6.3E-2</v>
      </c>
      <c r="S28" s="57">
        <v>0.51300000000000001</v>
      </c>
      <c r="T28" s="57">
        <v>6.0000000000000001E-3</v>
      </c>
      <c r="U28" s="57">
        <v>0.06</v>
      </c>
      <c r="V28" s="57"/>
      <c r="W28" s="57"/>
      <c r="X28" s="57"/>
      <c r="Y28" s="57"/>
      <c r="Z28" s="57">
        <v>0.19500000000000001</v>
      </c>
      <c r="AA28" s="57">
        <v>3.4049999999999998</v>
      </c>
      <c r="AB28" s="57"/>
      <c r="AC28" s="57"/>
      <c r="AD28" s="57"/>
      <c r="AE28" s="57"/>
      <c r="AF28" s="58">
        <f>'Citrus 2012-13'!J28</f>
        <v>1.2E-2</v>
      </c>
      <c r="AG28" s="58">
        <f>'Citrus 2012-13'!K28</f>
        <v>8.7999999999999995E-2</v>
      </c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>
        <v>4.2000000000000003E-2</v>
      </c>
      <c r="AU28" s="57">
        <v>0.34200000000000003</v>
      </c>
      <c r="AV28" s="57"/>
      <c r="AW28" s="57"/>
      <c r="AX28" s="57"/>
      <c r="AY28" s="57"/>
      <c r="AZ28" s="57">
        <v>3.5000000000000003E-2</v>
      </c>
      <c r="BA28" s="57">
        <v>0.159</v>
      </c>
      <c r="BB28" s="58">
        <f t="shared" si="0"/>
        <v>0.47599999999999998</v>
      </c>
      <c r="BC28" s="58">
        <f t="shared" si="1"/>
        <v>9.3360000000000003</v>
      </c>
    </row>
    <row r="29" spans="1:55" ht="19.5" customHeight="1" x14ac:dyDescent="0.2">
      <c r="A29" s="27" t="s">
        <v>33</v>
      </c>
      <c r="B29" s="57"/>
      <c r="C29" s="57"/>
      <c r="D29" s="57">
        <v>0.36</v>
      </c>
      <c r="E29" s="57">
        <v>4.92</v>
      </c>
      <c r="F29" s="57"/>
      <c r="G29" s="57"/>
      <c r="H29" s="57"/>
      <c r="I29" s="57"/>
      <c r="J29" s="57">
        <v>0.17</v>
      </c>
      <c r="K29" s="57">
        <v>9.7899999999999991</v>
      </c>
      <c r="L29" s="57">
        <v>1.83</v>
      </c>
      <c r="M29" s="57">
        <v>30.16</v>
      </c>
      <c r="N29" s="57"/>
      <c r="O29" s="57"/>
      <c r="P29" s="57">
        <v>0.44</v>
      </c>
      <c r="Q29" s="57">
        <v>12.52</v>
      </c>
      <c r="R29" s="57">
        <v>8.07</v>
      </c>
      <c r="S29" s="57">
        <v>177.57</v>
      </c>
      <c r="T29" s="57"/>
      <c r="U29" s="57"/>
      <c r="V29" s="57"/>
      <c r="W29" s="57"/>
      <c r="X29" s="57">
        <v>1.75</v>
      </c>
      <c r="Y29" s="57">
        <v>26.52</v>
      </c>
      <c r="Z29" s="57">
        <v>6.66</v>
      </c>
      <c r="AA29" s="57">
        <v>105.92</v>
      </c>
      <c r="AB29" s="57"/>
      <c r="AC29" s="57"/>
      <c r="AD29" s="57"/>
      <c r="AE29" s="57"/>
      <c r="AF29" s="58">
        <f>'Citrus 2012-13'!J29</f>
        <v>49.24</v>
      </c>
      <c r="AG29" s="58">
        <f>'Citrus 2012-13'!K29</f>
        <v>1015.63</v>
      </c>
      <c r="AH29" s="57">
        <v>1.65</v>
      </c>
      <c r="AI29" s="57">
        <v>29.13</v>
      </c>
      <c r="AJ29" s="57">
        <v>2.79</v>
      </c>
      <c r="AK29" s="57">
        <v>63.04</v>
      </c>
      <c r="AL29" s="57"/>
      <c r="AM29" s="57"/>
      <c r="AN29" s="57"/>
      <c r="AO29" s="57"/>
      <c r="AP29" s="57">
        <v>0.2</v>
      </c>
      <c r="AQ29" s="57">
        <v>3.61</v>
      </c>
      <c r="AR29" s="57"/>
      <c r="AS29" s="57"/>
      <c r="AT29" s="57"/>
      <c r="AU29" s="57"/>
      <c r="AV29" s="57"/>
      <c r="AW29" s="57"/>
      <c r="AX29" s="57"/>
      <c r="AY29" s="57"/>
      <c r="AZ29" s="57">
        <v>1.73</v>
      </c>
      <c r="BA29" s="57">
        <v>23.71</v>
      </c>
      <c r="BB29" s="58">
        <f t="shared" si="0"/>
        <v>74.890000000000029</v>
      </c>
      <c r="BC29" s="58">
        <f t="shared" si="1"/>
        <v>1502.52</v>
      </c>
    </row>
    <row r="30" spans="1:55" ht="19.5" customHeight="1" x14ac:dyDescent="0.2">
      <c r="A30" s="27" t="s">
        <v>230</v>
      </c>
      <c r="B30" s="57"/>
      <c r="C30" s="57"/>
      <c r="D30" s="57">
        <v>5.0039999999999996</v>
      </c>
      <c r="E30" s="57">
        <v>56.079000000000001</v>
      </c>
      <c r="F30" s="57"/>
      <c r="G30" s="57"/>
      <c r="H30" s="57"/>
      <c r="I30" s="57"/>
      <c r="J30" s="57">
        <v>0.04</v>
      </c>
      <c r="K30" s="57">
        <v>0.89</v>
      </c>
      <c r="L30" s="57">
        <v>2.58</v>
      </c>
      <c r="M30" s="57">
        <v>26.6</v>
      </c>
      <c r="N30" s="57">
        <v>0.871</v>
      </c>
      <c r="O30" s="57">
        <v>7.1050000000000004</v>
      </c>
      <c r="P30" s="57">
        <v>1.4999999999999999E-2</v>
      </c>
      <c r="Q30" s="57">
        <v>0.27800000000000002</v>
      </c>
      <c r="R30" s="57">
        <v>5.4020000000000001</v>
      </c>
      <c r="S30" s="57">
        <v>74.798000000000002</v>
      </c>
      <c r="T30" s="57"/>
      <c r="U30" s="57"/>
      <c r="V30" s="57"/>
      <c r="W30" s="57"/>
      <c r="X30" s="57"/>
      <c r="Y30" s="57"/>
      <c r="Z30" s="57">
        <v>5</v>
      </c>
      <c r="AA30" s="57">
        <v>70.17</v>
      </c>
      <c r="AB30" s="57">
        <v>0.9</v>
      </c>
      <c r="AC30" s="57">
        <v>16.010000000000002</v>
      </c>
      <c r="AD30" s="57"/>
      <c r="AE30" s="57"/>
      <c r="AF30" s="58">
        <f>'Citrus 2012-13'!J30</f>
        <v>24.71</v>
      </c>
      <c r="AG30" s="58">
        <f>'Citrus 2012-13'!K30</f>
        <v>455.59000000000003</v>
      </c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>
        <v>1.01</v>
      </c>
      <c r="AS30" s="57">
        <v>5.5</v>
      </c>
      <c r="AT30" s="57">
        <v>0.02</v>
      </c>
      <c r="AU30" s="57">
        <v>0.08</v>
      </c>
      <c r="AV30" s="57"/>
      <c r="AW30" s="57"/>
      <c r="AX30" s="57"/>
      <c r="AY30" s="57"/>
      <c r="AZ30" s="57">
        <v>0.96899999999999997</v>
      </c>
      <c r="BA30" s="57">
        <v>3.72</v>
      </c>
      <c r="BB30" s="58">
        <f t="shared" si="0"/>
        <v>46.521000000000001</v>
      </c>
      <c r="BC30" s="58">
        <f t="shared" si="1"/>
        <v>716.82</v>
      </c>
    </row>
    <row r="31" spans="1:55" ht="19.5" customHeight="1" x14ac:dyDescent="0.2">
      <c r="A31" s="27" t="s">
        <v>35</v>
      </c>
      <c r="B31" s="57"/>
      <c r="C31" s="57"/>
      <c r="D31" s="57"/>
      <c r="E31" s="57"/>
      <c r="F31" s="57">
        <v>5.0999999999999997E-2</v>
      </c>
      <c r="G31" s="57">
        <v>2.8000000000000001E-2</v>
      </c>
      <c r="H31" s="57"/>
      <c r="I31" s="57"/>
      <c r="J31" s="57">
        <v>1.615</v>
      </c>
      <c r="K31" s="57">
        <v>3.89</v>
      </c>
      <c r="L31" s="57"/>
      <c r="M31" s="57"/>
      <c r="N31" s="57"/>
      <c r="O31" s="57"/>
      <c r="P31" s="57"/>
      <c r="Q31" s="57"/>
      <c r="R31" s="57">
        <v>1.0760000000000001</v>
      </c>
      <c r="S31" s="57">
        <v>0.105</v>
      </c>
      <c r="T31" s="57"/>
      <c r="U31" s="57"/>
      <c r="V31" s="57">
        <v>9.2999999999999999E-2</v>
      </c>
      <c r="W31" s="57">
        <v>0.78</v>
      </c>
      <c r="X31" s="57">
        <v>0.30499999999999999</v>
      </c>
      <c r="Y31" s="57">
        <v>2.7E-2</v>
      </c>
      <c r="Z31" s="57"/>
      <c r="AA31" s="57"/>
      <c r="AB31" s="57">
        <v>0.17499999999999999</v>
      </c>
      <c r="AC31" s="57">
        <v>0.56499999999999995</v>
      </c>
      <c r="AD31" s="57">
        <v>0.52500000000000002</v>
      </c>
      <c r="AE31" s="57">
        <v>0.15</v>
      </c>
      <c r="AF31" s="58">
        <f>'Citrus 2012-13'!J31</f>
        <v>9.4570000000000007</v>
      </c>
      <c r="AG31" s="58">
        <f>'Citrus 2012-13'!K31</f>
        <v>16.850000000000001</v>
      </c>
      <c r="AH31" s="57">
        <v>0.18099999999999999</v>
      </c>
      <c r="AI31" s="57">
        <v>0.09</v>
      </c>
      <c r="AJ31" s="57">
        <v>1.175</v>
      </c>
      <c r="AK31" s="57">
        <v>1.5349999999999999</v>
      </c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8">
        <f t="shared" si="0"/>
        <v>14.653</v>
      </c>
      <c r="BC31" s="58">
        <f t="shared" si="1"/>
        <v>24.020000000000003</v>
      </c>
    </row>
    <row r="32" spans="1:55" ht="19.5" customHeight="1" x14ac:dyDescent="0.2">
      <c r="A32" s="27" t="s">
        <v>36</v>
      </c>
      <c r="B32" s="57"/>
      <c r="C32" s="57"/>
      <c r="D32" s="57">
        <v>9.18</v>
      </c>
      <c r="E32" s="57">
        <v>174.36</v>
      </c>
      <c r="F32" s="57">
        <v>4.0000000000000001E-3</v>
      </c>
      <c r="G32" s="57">
        <v>0.03</v>
      </c>
      <c r="H32" s="57"/>
      <c r="I32" s="57"/>
      <c r="J32" s="59">
        <v>111.35599999999999</v>
      </c>
      <c r="K32" s="57">
        <v>5136.2</v>
      </c>
      <c r="L32" s="57"/>
      <c r="M32" s="57"/>
      <c r="N32" s="57"/>
      <c r="O32" s="57"/>
      <c r="P32" s="57">
        <v>2.68</v>
      </c>
      <c r="Q32" s="57">
        <v>43.38</v>
      </c>
      <c r="R32" s="57">
        <v>8.33</v>
      </c>
      <c r="S32" s="57">
        <v>46.14</v>
      </c>
      <c r="T32" s="57">
        <v>3.1</v>
      </c>
      <c r="U32" s="57">
        <v>16.12</v>
      </c>
      <c r="V32" s="57"/>
      <c r="W32" s="57"/>
      <c r="X32" s="57"/>
      <c r="Y32" s="57"/>
      <c r="Z32" s="57">
        <v>152.43</v>
      </c>
      <c r="AA32" s="57">
        <v>714.08</v>
      </c>
      <c r="AB32" s="57">
        <v>0.96</v>
      </c>
      <c r="AC32" s="57">
        <v>184.24</v>
      </c>
      <c r="AD32" s="57"/>
      <c r="AE32" s="57"/>
      <c r="AF32" s="58">
        <f>'Citrus 2012-13'!J32</f>
        <v>10.78</v>
      </c>
      <c r="AG32" s="58">
        <f>'Citrus 2012-13'!K32</f>
        <v>36.090000000000003</v>
      </c>
      <c r="AH32" s="57">
        <v>0.1</v>
      </c>
      <c r="AI32" s="57">
        <v>0.64</v>
      </c>
      <c r="AJ32" s="57">
        <v>1</v>
      </c>
      <c r="AK32" s="57">
        <v>38.17</v>
      </c>
      <c r="AL32" s="57"/>
      <c r="AM32" s="57"/>
      <c r="AN32" s="57">
        <v>0.65</v>
      </c>
      <c r="AO32" s="57">
        <v>20.82</v>
      </c>
      <c r="AP32" s="57">
        <v>0.45</v>
      </c>
      <c r="AQ32" s="57">
        <v>5.28</v>
      </c>
      <c r="AR32" s="57">
        <v>0.38</v>
      </c>
      <c r="AS32" s="57">
        <v>11.9</v>
      </c>
      <c r="AT32" s="57">
        <v>7.59</v>
      </c>
      <c r="AU32" s="57">
        <v>240.36</v>
      </c>
      <c r="AV32" s="57"/>
      <c r="AW32" s="57"/>
      <c r="AX32" s="57"/>
      <c r="AY32" s="57"/>
      <c r="AZ32" s="57">
        <v>0.95</v>
      </c>
      <c r="BA32" s="57">
        <v>32.07</v>
      </c>
      <c r="BB32" s="58">
        <f t="shared" si="0"/>
        <v>309.93999999999994</v>
      </c>
      <c r="BC32" s="58">
        <f t="shared" si="1"/>
        <v>6699.8799999999992</v>
      </c>
    </row>
    <row r="33" spans="1:55" ht="19.5" customHeight="1" x14ac:dyDescent="0.2">
      <c r="A33" s="27" t="s">
        <v>37</v>
      </c>
      <c r="B33" s="57"/>
      <c r="C33" s="57"/>
      <c r="D33" s="57"/>
      <c r="E33" s="57"/>
      <c r="F33" s="57"/>
      <c r="G33" s="57"/>
      <c r="H33" s="57"/>
      <c r="I33" s="57"/>
      <c r="J33" s="57">
        <v>13.58</v>
      </c>
      <c r="K33" s="57">
        <v>133.69999999999999</v>
      </c>
      <c r="L33" s="57"/>
      <c r="M33" s="57"/>
      <c r="N33" s="57"/>
      <c r="O33" s="57"/>
      <c r="P33" s="57"/>
      <c r="Q33" s="57"/>
      <c r="R33" s="57">
        <v>0.52</v>
      </c>
      <c r="S33" s="57">
        <v>2.74</v>
      </c>
      <c r="T33" s="57">
        <v>9.02</v>
      </c>
      <c r="U33" s="57">
        <v>269.39999999999998</v>
      </c>
      <c r="V33" s="57"/>
      <c r="W33" s="57"/>
      <c r="X33" s="57">
        <v>3.46</v>
      </c>
      <c r="Y33" s="57">
        <v>17.97</v>
      </c>
      <c r="Z33" s="57">
        <v>8.3800000000000008</v>
      </c>
      <c r="AA33" s="57">
        <v>28.85</v>
      </c>
      <c r="AB33" s="57">
        <v>2.73</v>
      </c>
      <c r="AC33" s="57">
        <v>27.08</v>
      </c>
      <c r="AD33" s="57"/>
      <c r="AE33" s="57"/>
      <c r="AF33" s="58">
        <f>'Citrus 2012-13'!J33</f>
        <v>9.5</v>
      </c>
      <c r="AG33" s="58">
        <f>'Citrus 2012-13'!K33</f>
        <v>47.15</v>
      </c>
      <c r="AH33" s="57"/>
      <c r="AI33" s="57"/>
      <c r="AJ33" s="57"/>
      <c r="AK33" s="57"/>
      <c r="AL33" s="57"/>
      <c r="AM33" s="57"/>
      <c r="AN33" s="57">
        <v>11.84</v>
      </c>
      <c r="AO33" s="57">
        <v>165.01</v>
      </c>
      <c r="AP33" s="57"/>
      <c r="AQ33" s="57"/>
      <c r="AR33" s="57"/>
      <c r="AS33" s="57"/>
      <c r="AT33" s="57">
        <v>0.13</v>
      </c>
      <c r="AU33" s="57">
        <v>1.25</v>
      </c>
      <c r="AV33" s="57"/>
      <c r="AW33" s="57"/>
      <c r="AX33" s="57"/>
      <c r="AY33" s="57"/>
      <c r="AZ33" s="57">
        <v>0.96</v>
      </c>
      <c r="BA33" s="57">
        <v>4.72</v>
      </c>
      <c r="BB33" s="58">
        <f t="shared" si="0"/>
        <v>60.120000000000005</v>
      </c>
      <c r="BC33" s="58">
        <f t="shared" si="1"/>
        <v>697.87</v>
      </c>
    </row>
    <row r="34" spans="1:55" ht="19.5" customHeight="1" x14ac:dyDescent="0.2">
      <c r="A34" s="27" t="s">
        <v>38</v>
      </c>
      <c r="B34" s="57"/>
      <c r="C34" s="57"/>
      <c r="D34" s="57">
        <v>33.003</v>
      </c>
      <c r="E34" s="57">
        <v>359.733</v>
      </c>
      <c r="F34" s="57"/>
      <c r="G34" s="57"/>
      <c r="H34" s="57"/>
      <c r="I34" s="57"/>
      <c r="J34" s="57">
        <v>2.3540000000000001</v>
      </c>
      <c r="K34" s="57">
        <v>111.321</v>
      </c>
      <c r="L34" s="57"/>
      <c r="M34" s="57"/>
      <c r="N34" s="57"/>
      <c r="O34" s="57"/>
      <c r="P34" s="57"/>
      <c r="Q34" s="57"/>
      <c r="R34" s="57">
        <v>15.301</v>
      </c>
      <c r="S34" s="57">
        <v>291.39499999999998</v>
      </c>
      <c r="T34" s="57">
        <v>0.42599999999999999</v>
      </c>
      <c r="U34" s="57">
        <v>10.65</v>
      </c>
      <c r="V34" s="57"/>
      <c r="W34" s="57"/>
      <c r="X34" s="57">
        <v>0.32200000000000001</v>
      </c>
      <c r="Y34" s="57">
        <v>1.5880000000000001</v>
      </c>
      <c r="Z34" s="57">
        <v>274.03300000000002</v>
      </c>
      <c r="AA34" s="57">
        <v>4386.9939999999997</v>
      </c>
      <c r="AB34" s="57">
        <v>0.183</v>
      </c>
      <c r="AC34" s="57">
        <v>12.856</v>
      </c>
      <c r="AD34" s="57"/>
      <c r="AE34" s="57"/>
      <c r="AF34" s="58">
        <f>'Citrus 2012-13'!J34</f>
        <v>0.55300000000000005</v>
      </c>
      <c r="AG34" s="58">
        <f>'Citrus 2012-13'!K34</f>
        <v>1.6020000000000001</v>
      </c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8">
        <f t="shared" si="0"/>
        <v>326.17500000000001</v>
      </c>
      <c r="BC34" s="58">
        <f t="shared" si="1"/>
        <v>5176.1389999999992</v>
      </c>
    </row>
    <row r="35" spans="1:55" ht="19.5" customHeight="1" x14ac:dyDescent="0.2">
      <c r="A35" s="27" t="s">
        <v>98</v>
      </c>
      <c r="B35" s="57"/>
      <c r="C35" s="57"/>
      <c r="D35" s="57">
        <v>0.53500000000000003</v>
      </c>
      <c r="E35" s="57">
        <v>1.2410000000000001</v>
      </c>
      <c r="F35" s="57">
        <v>33.761000000000003</v>
      </c>
      <c r="G35" s="57">
        <v>123.22799999999999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>
        <v>1.82</v>
      </c>
      <c r="S35" s="57">
        <v>11.356999999999999</v>
      </c>
      <c r="T35" s="57"/>
      <c r="U35" s="57"/>
      <c r="V35" s="57"/>
      <c r="W35" s="57"/>
      <c r="X35" s="57">
        <v>9.4849999999999994</v>
      </c>
      <c r="Y35" s="57">
        <v>19.16</v>
      </c>
      <c r="Z35" s="57">
        <v>39.85</v>
      </c>
      <c r="AA35" s="57">
        <v>148.63999999999999</v>
      </c>
      <c r="AB35" s="57"/>
      <c r="AC35" s="57"/>
      <c r="AD35" s="57"/>
      <c r="AE35" s="57"/>
      <c r="AF35" s="58">
        <f>'Citrus 2012-13'!J35</f>
        <v>27.965</v>
      </c>
      <c r="AG35" s="58">
        <f>'Citrus 2012-13'!K35</f>
        <v>138.98599999999999</v>
      </c>
      <c r="AH35" s="57">
        <v>9.0350000000000001</v>
      </c>
      <c r="AI35" s="57">
        <v>49.963999999999999</v>
      </c>
      <c r="AJ35" s="57">
        <v>15.09</v>
      </c>
      <c r="AK35" s="57">
        <v>108.648</v>
      </c>
      <c r="AL35" s="57"/>
      <c r="AM35" s="57"/>
      <c r="AN35" s="57"/>
      <c r="AO35" s="57"/>
      <c r="AP35" s="57">
        <v>9.66</v>
      </c>
      <c r="AQ35" s="57">
        <v>41.344999999999999</v>
      </c>
      <c r="AR35" s="57"/>
      <c r="AS35" s="57"/>
      <c r="AT35" s="57"/>
      <c r="AU35" s="57"/>
      <c r="AV35" s="57"/>
      <c r="AW35" s="57"/>
      <c r="AX35" s="57">
        <v>19.649999999999999</v>
      </c>
      <c r="AY35" s="57">
        <v>22.007999999999999</v>
      </c>
      <c r="AZ35" s="57">
        <f>9.05+24.95</f>
        <v>34</v>
      </c>
      <c r="BA35" s="57">
        <f>32.309+108.782</f>
        <v>141.09100000000001</v>
      </c>
      <c r="BB35" s="58">
        <f t="shared" si="0"/>
        <v>200.851</v>
      </c>
      <c r="BC35" s="58">
        <f t="shared" si="1"/>
        <v>805.66800000000001</v>
      </c>
    </row>
    <row r="36" spans="1:55" ht="19.5" customHeight="1" x14ac:dyDescent="0.2">
      <c r="A36" s="27" t="s">
        <v>40</v>
      </c>
      <c r="B36" s="57"/>
      <c r="C36" s="57"/>
      <c r="D36" s="57"/>
      <c r="E36" s="57"/>
      <c r="F36" s="57"/>
      <c r="G36" s="57"/>
      <c r="H36" s="57"/>
      <c r="I36" s="57"/>
      <c r="J36" s="57">
        <v>44.7</v>
      </c>
      <c r="K36" s="57">
        <v>1077.8</v>
      </c>
      <c r="L36" s="57"/>
      <c r="M36" s="57"/>
      <c r="N36" s="57"/>
      <c r="O36" s="57"/>
      <c r="P36" s="57"/>
      <c r="Q36" s="57"/>
      <c r="R36" s="57">
        <v>14.2</v>
      </c>
      <c r="S36" s="57">
        <v>184</v>
      </c>
      <c r="T36" s="57">
        <v>11.45</v>
      </c>
      <c r="U36" s="57">
        <v>193.5</v>
      </c>
      <c r="V36" s="57"/>
      <c r="W36" s="57"/>
      <c r="X36" s="57">
        <v>9.1850000000000005</v>
      </c>
      <c r="Y36" s="57">
        <v>90</v>
      </c>
      <c r="Z36" s="57">
        <v>92.5</v>
      </c>
      <c r="AA36" s="57">
        <v>735</v>
      </c>
      <c r="AB36" s="57">
        <v>11.3</v>
      </c>
      <c r="AC36" s="57">
        <v>331</v>
      </c>
      <c r="AD36" s="57"/>
      <c r="AE36" s="57"/>
      <c r="AF36" s="58">
        <f>'Citrus 2012-13'!J36</f>
        <v>11.71</v>
      </c>
      <c r="AG36" s="58">
        <f>'Citrus 2012-13'!K36</f>
        <v>109.4</v>
      </c>
      <c r="AH36" s="57"/>
      <c r="AI36" s="57"/>
      <c r="AJ36" s="57"/>
      <c r="AK36" s="57"/>
      <c r="AL36" s="57"/>
      <c r="AM36" s="57"/>
      <c r="AN36" s="57">
        <v>10.5</v>
      </c>
      <c r="AO36" s="57">
        <v>310</v>
      </c>
      <c r="AP36" s="57"/>
      <c r="AQ36" s="57"/>
      <c r="AR36" s="57"/>
      <c r="AS36" s="57"/>
      <c r="AT36" s="57">
        <v>4.1500000000000004</v>
      </c>
      <c r="AU36" s="57">
        <v>44.8</v>
      </c>
      <c r="AV36" s="57"/>
      <c r="AW36" s="57"/>
      <c r="AX36" s="57"/>
      <c r="AY36" s="57"/>
      <c r="AZ36" s="57">
        <v>10.9</v>
      </c>
      <c r="BA36" s="57">
        <v>97</v>
      </c>
      <c r="BB36" s="58">
        <f t="shared" si="0"/>
        <v>220.59500000000006</v>
      </c>
      <c r="BC36" s="58">
        <f t="shared" si="1"/>
        <v>3172.5000000000005</v>
      </c>
    </row>
    <row r="37" spans="1:55" ht="19.5" customHeight="1" x14ac:dyDescent="0.2">
      <c r="A37" s="2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8"/>
      <c r="AG37" s="58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8"/>
      <c r="BC37" s="58"/>
    </row>
    <row r="38" spans="1:55" ht="19.5" customHeight="1" x14ac:dyDescent="0.2">
      <c r="A38" s="27" t="s">
        <v>9</v>
      </c>
      <c r="B38" s="58">
        <f>SUM(B3:B37)</f>
        <v>21.396999999999998</v>
      </c>
      <c r="C38" s="58">
        <f t="shared" ref="C38:BC38" si="2">SUM(C3:C37)</f>
        <v>9.3420000000000005</v>
      </c>
      <c r="D38" s="58">
        <f t="shared" si="2"/>
        <v>108.05800000000001</v>
      </c>
      <c r="E38" s="58">
        <f t="shared" si="2"/>
        <v>1266.461</v>
      </c>
      <c r="F38" s="58">
        <f t="shared" si="2"/>
        <v>311.49700000000007</v>
      </c>
      <c r="G38" s="58">
        <f t="shared" si="2"/>
        <v>1915.3749999999998</v>
      </c>
      <c r="H38" s="58">
        <f t="shared" si="2"/>
        <v>0.71</v>
      </c>
      <c r="I38" s="58">
        <f t="shared" si="2"/>
        <v>1.76</v>
      </c>
      <c r="J38" s="58">
        <f t="shared" si="2"/>
        <v>775.99500000000012</v>
      </c>
      <c r="K38" s="58">
        <f t="shared" si="2"/>
        <v>26509.096000000005</v>
      </c>
      <c r="L38" s="58">
        <f t="shared" si="2"/>
        <v>40.530999999999999</v>
      </c>
      <c r="M38" s="58">
        <f t="shared" si="2"/>
        <v>438.01</v>
      </c>
      <c r="N38" s="58">
        <f t="shared" si="2"/>
        <v>19.552999999999997</v>
      </c>
      <c r="O38" s="58">
        <f t="shared" si="2"/>
        <v>135.63499999999999</v>
      </c>
      <c r="P38" s="58">
        <f t="shared" si="2"/>
        <v>117.63199999999999</v>
      </c>
      <c r="Q38" s="58">
        <f t="shared" si="2"/>
        <v>2483.0940000000001</v>
      </c>
      <c r="R38" s="58">
        <f t="shared" si="2"/>
        <v>235.60499999999996</v>
      </c>
      <c r="S38" s="58">
        <f t="shared" si="2"/>
        <v>3198.2788999999998</v>
      </c>
      <c r="T38" s="58">
        <f t="shared" si="2"/>
        <v>66.731000000000009</v>
      </c>
      <c r="U38" s="58">
        <f t="shared" si="2"/>
        <v>1175.703</v>
      </c>
      <c r="V38" s="58">
        <f t="shared" si="2"/>
        <v>3.952</v>
      </c>
      <c r="W38" s="58">
        <f t="shared" si="2"/>
        <v>7.1665000000000001</v>
      </c>
      <c r="X38" s="58">
        <f t="shared" si="2"/>
        <v>82.742000000000004</v>
      </c>
      <c r="Y38" s="58">
        <f t="shared" si="2"/>
        <v>580.08199999999999</v>
      </c>
      <c r="Z38" s="58">
        <f t="shared" si="2"/>
        <v>2500.018</v>
      </c>
      <c r="AA38" s="58">
        <f t="shared" si="2"/>
        <v>18002.381000000001</v>
      </c>
      <c r="AB38" s="58">
        <f t="shared" si="2"/>
        <v>132.18300000000002</v>
      </c>
      <c r="AC38" s="58">
        <f t="shared" si="2"/>
        <v>5381.7269999999999</v>
      </c>
      <c r="AD38" s="58">
        <f t="shared" si="2"/>
        <v>18.014999999999997</v>
      </c>
      <c r="AE38" s="58">
        <f t="shared" si="2"/>
        <v>100.51</v>
      </c>
      <c r="AF38" s="58">
        <f t="shared" si="2"/>
        <v>1042.4879999999998</v>
      </c>
      <c r="AG38" s="58">
        <f t="shared" si="2"/>
        <v>10089.734000000002</v>
      </c>
      <c r="AH38" s="58">
        <f t="shared" si="2"/>
        <v>19.238999999999997</v>
      </c>
      <c r="AI38" s="58">
        <f t="shared" si="2"/>
        <v>97.935000000000002</v>
      </c>
      <c r="AJ38" s="58">
        <f t="shared" si="2"/>
        <v>42.295000000000002</v>
      </c>
      <c r="AK38" s="58">
        <f t="shared" si="2"/>
        <v>295.09199999999998</v>
      </c>
      <c r="AL38" s="58">
        <f t="shared" si="2"/>
        <v>0.61899999999999999</v>
      </c>
      <c r="AM38" s="58">
        <f t="shared" si="2"/>
        <v>1.2E-2</v>
      </c>
      <c r="AN38" s="58">
        <f t="shared" si="2"/>
        <v>105.16800000000002</v>
      </c>
      <c r="AO38" s="58">
        <f t="shared" si="2"/>
        <v>1570.586</v>
      </c>
      <c r="AP38" s="58">
        <f t="shared" si="2"/>
        <v>23.943999999999996</v>
      </c>
      <c r="AQ38" s="58">
        <f t="shared" si="2"/>
        <v>74.123999999999995</v>
      </c>
      <c r="AR38" s="58">
        <f t="shared" si="2"/>
        <v>113.248</v>
      </c>
      <c r="AS38" s="58">
        <f t="shared" si="2"/>
        <v>744.96254999999985</v>
      </c>
      <c r="AT38" s="58">
        <f t="shared" si="2"/>
        <v>163.88400000000001</v>
      </c>
      <c r="AU38" s="58">
        <f t="shared" si="2"/>
        <v>1495.0350000000001</v>
      </c>
      <c r="AV38" s="58">
        <f t="shared" si="2"/>
        <v>0.16700000000000001</v>
      </c>
      <c r="AW38" s="58">
        <f t="shared" si="2"/>
        <v>1.395</v>
      </c>
      <c r="AX38" s="58">
        <f t="shared" si="2"/>
        <v>122.654</v>
      </c>
      <c r="AY38" s="58">
        <f t="shared" si="2"/>
        <v>233.11500000000001</v>
      </c>
      <c r="AZ38" s="58">
        <f t="shared" si="2"/>
        <v>913.69</v>
      </c>
      <c r="BA38" s="58">
        <f t="shared" si="2"/>
        <v>5478.7220000000007</v>
      </c>
      <c r="BB38" s="58">
        <f t="shared" si="2"/>
        <v>6982.0150000000012</v>
      </c>
      <c r="BC38" s="58">
        <f t="shared" si="2"/>
        <v>81285.333949999986</v>
      </c>
    </row>
    <row r="39" spans="1:55" ht="19.5" customHeight="1" x14ac:dyDescent="0.2">
      <c r="A39" s="60" t="s">
        <v>240</v>
      </c>
    </row>
    <row r="40" spans="1:55" ht="19.5" customHeight="1" x14ac:dyDescent="0.2">
      <c r="A40" s="60" t="s">
        <v>239</v>
      </c>
    </row>
  </sheetData>
  <mergeCells count="27">
    <mergeCell ref="AL1:AM1"/>
    <mergeCell ref="AN1:AO1"/>
    <mergeCell ref="BB1:BC1"/>
    <mergeCell ref="AP1:AQ1"/>
    <mergeCell ref="AR1:AS1"/>
    <mergeCell ref="AT1:AU1"/>
    <mergeCell ref="AV1:AW1"/>
    <mergeCell ref="AX1:AY1"/>
    <mergeCell ref="AZ1:BA1"/>
    <mergeCell ref="AH1:AI1"/>
    <mergeCell ref="AJ1:AK1"/>
    <mergeCell ref="AD1:AE1"/>
    <mergeCell ref="AF1:AG1"/>
    <mergeCell ref="V1:W1"/>
    <mergeCell ref="X1:Y1"/>
    <mergeCell ref="Z1:AA1"/>
    <mergeCell ref="AB1:AC1"/>
    <mergeCell ref="R1:S1"/>
    <mergeCell ref="T1:U1"/>
    <mergeCell ref="B1:C1"/>
    <mergeCell ref="D1:E1"/>
    <mergeCell ref="F1:G1"/>
    <mergeCell ref="H1:I1"/>
    <mergeCell ref="J1:K1"/>
    <mergeCell ref="L1:M1"/>
    <mergeCell ref="N1:O1"/>
    <mergeCell ref="P1:Q1"/>
  </mergeCells>
  <phoneticPr fontId="24" type="noConversion"/>
  <printOptions horizontalCentered="1" verticalCentered="1"/>
  <pageMargins left="0.48" right="0.44" top="0.5" bottom="0.25" header="0.5" footer="0.25"/>
  <pageSetup scale="56" orientation="landscape" r:id="rId1"/>
  <headerFooter alignWithMargins="0">
    <oddHeader xml:space="preserve">&amp;C&amp;"Arial,Bold"&amp;12&amp;UArea and Production of Fruits Crop 2012-13 (Final)&amp;R&amp;"Arial,Bold"&amp;8Area in'000 Ha
Production in '000 MT </oddHeader>
  </headerFooter>
  <colBreaks count="1" manualBreakCount="1">
    <brk id="2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pane xSplit="1" ySplit="2" topLeftCell="D24" activePane="bottomRight" state="frozen"/>
      <selection pane="topRight" activeCell="B1" sqref="B1"/>
      <selection pane="bottomLeft" activeCell="A3" sqref="A3"/>
      <selection pane="bottomRight" activeCell="D44" sqref="D44"/>
    </sheetView>
  </sheetViews>
  <sheetFormatPr defaultColWidth="9.5703125" defaultRowHeight="15.75" customHeight="1" x14ac:dyDescent="0.2"/>
  <cols>
    <col min="1" max="1" width="23.7109375" style="56" customWidth="1"/>
    <col min="2" max="2" width="12.85546875" style="56" customWidth="1"/>
    <col min="3" max="3" width="13.28515625" style="56" customWidth="1"/>
    <col min="4" max="4" width="12.42578125" style="56" customWidth="1"/>
    <col min="5" max="5" width="13.42578125" style="56" customWidth="1"/>
    <col min="6" max="6" width="13.140625" style="56" customWidth="1"/>
    <col min="7" max="7" width="13" style="56" customWidth="1"/>
    <col min="8" max="8" width="12" style="56" customWidth="1"/>
    <col min="9" max="9" width="15.28515625" style="56" customWidth="1"/>
    <col min="10" max="10" width="12.42578125" style="56" customWidth="1"/>
    <col min="11" max="11" width="13.140625" style="56" customWidth="1"/>
    <col min="12" max="16384" width="9.5703125" style="56"/>
  </cols>
  <sheetData>
    <row r="1" spans="1:11" ht="45.75" customHeight="1" x14ac:dyDescent="0.2">
      <c r="A1" s="24" t="s">
        <v>97</v>
      </c>
      <c r="B1" s="105" t="s">
        <v>117</v>
      </c>
      <c r="C1" s="105"/>
      <c r="D1" s="110" t="s">
        <v>196</v>
      </c>
      <c r="E1" s="110"/>
      <c r="F1" s="111" t="s">
        <v>197</v>
      </c>
      <c r="G1" s="112"/>
      <c r="H1" s="105" t="s">
        <v>118</v>
      </c>
      <c r="I1" s="105"/>
      <c r="J1" s="105" t="s">
        <v>9</v>
      </c>
      <c r="K1" s="105"/>
    </row>
    <row r="2" spans="1:11" ht="15.75" customHeight="1" x14ac:dyDescent="0.2">
      <c r="A2" s="26"/>
      <c r="B2" s="61" t="s">
        <v>49</v>
      </c>
      <c r="C2" s="61" t="s">
        <v>10</v>
      </c>
      <c r="D2" s="61" t="s">
        <v>49</v>
      </c>
      <c r="E2" s="61" t="s">
        <v>10</v>
      </c>
      <c r="F2" s="61" t="s">
        <v>49</v>
      </c>
      <c r="G2" s="61" t="s">
        <v>10</v>
      </c>
      <c r="H2" s="61" t="s">
        <v>49</v>
      </c>
      <c r="I2" s="61" t="s">
        <v>10</v>
      </c>
      <c r="J2" s="61" t="s">
        <v>49</v>
      </c>
      <c r="K2" s="61" t="s">
        <v>10</v>
      </c>
    </row>
    <row r="3" spans="1:11" ht="15.75" customHeight="1" x14ac:dyDescent="0.2">
      <c r="A3" s="62" t="s">
        <v>11</v>
      </c>
      <c r="B3" s="57">
        <v>0.22</v>
      </c>
      <c r="C3" s="57">
        <v>1.1000000000000001</v>
      </c>
      <c r="D3" s="56">
        <v>0.02</v>
      </c>
      <c r="E3" s="56">
        <v>0.1</v>
      </c>
      <c r="F3" s="57">
        <v>0.03</v>
      </c>
      <c r="G3" s="57">
        <v>0.11</v>
      </c>
      <c r="H3" s="57"/>
      <c r="I3" s="57"/>
      <c r="J3" s="58">
        <f>B3+D3+F3+H3</f>
        <v>0.27</v>
      </c>
      <c r="K3" s="58">
        <f>C3+E3+G3+I3</f>
        <v>1.3100000000000003</v>
      </c>
    </row>
    <row r="4" spans="1:11" ht="15.75" customHeight="1" x14ac:dyDescent="0.2">
      <c r="A4" s="62" t="s">
        <v>12</v>
      </c>
      <c r="B4" s="57">
        <v>49.302</v>
      </c>
      <c r="C4" s="57">
        <v>739.53200000000004</v>
      </c>
      <c r="D4" s="57"/>
      <c r="E4" s="57"/>
      <c r="F4" s="57">
        <v>204.071</v>
      </c>
      <c r="G4" s="57">
        <v>3061.058</v>
      </c>
      <c r="H4" s="57"/>
      <c r="I4" s="57"/>
      <c r="J4" s="58">
        <f t="shared" ref="J4:J36" si="0">B4+D4+F4+H4</f>
        <v>253.37299999999999</v>
      </c>
      <c r="K4" s="58">
        <f t="shared" ref="K4:K36" si="1">C4+E4+G4+I4</f>
        <v>3800.59</v>
      </c>
    </row>
    <row r="5" spans="1:11" ht="15.75" customHeight="1" x14ac:dyDescent="0.2">
      <c r="A5" s="63" t="s">
        <v>13</v>
      </c>
      <c r="B5" s="57"/>
      <c r="C5" s="57"/>
      <c r="D5" s="57"/>
      <c r="E5" s="57"/>
      <c r="F5" s="57"/>
      <c r="G5" s="57"/>
      <c r="H5" s="57">
        <v>39.396000000000001</v>
      </c>
      <c r="I5" s="57">
        <v>176.70699999999999</v>
      </c>
      <c r="J5" s="58">
        <f t="shared" si="0"/>
        <v>39.396000000000001</v>
      </c>
      <c r="K5" s="58">
        <f t="shared" si="1"/>
        <v>176.70699999999999</v>
      </c>
    </row>
    <row r="6" spans="1:11" ht="15.75" customHeight="1" x14ac:dyDescent="0.2">
      <c r="A6" s="62" t="s">
        <v>14</v>
      </c>
      <c r="B6" s="57">
        <v>14.209</v>
      </c>
      <c r="C6" s="57">
        <v>125.892</v>
      </c>
      <c r="D6" s="57">
        <v>15.848000000000001</v>
      </c>
      <c r="E6" s="57">
        <v>195.81800000000001</v>
      </c>
      <c r="F6" s="57">
        <v>0.14000000000000001</v>
      </c>
      <c r="G6" s="57">
        <v>1.68</v>
      </c>
      <c r="H6" s="57"/>
      <c r="I6" s="57"/>
      <c r="J6" s="58">
        <f t="shared" si="0"/>
        <v>30.197000000000003</v>
      </c>
      <c r="K6" s="58">
        <f t="shared" si="1"/>
        <v>323.39000000000004</v>
      </c>
    </row>
    <row r="7" spans="1:11" ht="15.75" customHeight="1" x14ac:dyDescent="0.2">
      <c r="A7" s="62" t="s">
        <v>15</v>
      </c>
      <c r="B7" s="57">
        <v>18.04</v>
      </c>
      <c r="C7" s="57">
        <v>136.42099999999999</v>
      </c>
      <c r="D7" s="57"/>
      <c r="E7" s="57"/>
      <c r="F7" s="57"/>
      <c r="G7" s="57"/>
      <c r="H7" s="57"/>
      <c r="I7" s="57"/>
      <c r="J7" s="58">
        <f t="shared" si="0"/>
        <v>18.04</v>
      </c>
      <c r="K7" s="58">
        <f t="shared" si="1"/>
        <v>136.42099999999999</v>
      </c>
    </row>
    <row r="8" spans="1:11" ht="15.75" customHeight="1" x14ac:dyDescent="0.2">
      <c r="A8" s="62" t="s">
        <v>57</v>
      </c>
      <c r="B8" s="57">
        <v>11.88</v>
      </c>
      <c r="C8" s="57">
        <v>79.5</v>
      </c>
      <c r="D8" s="57"/>
      <c r="E8" s="57"/>
      <c r="F8" s="57">
        <v>0.27</v>
      </c>
      <c r="G8" s="57">
        <v>1.23</v>
      </c>
      <c r="H8" s="57"/>
      <c r="I8" s="57"/>
      <c r="J8" s="58">
        <f t="shared" si="0"/>
        <v>12.15</v>
      </c>
      <c r="K8" s="58">
        <f t="shared" si="1"/>
        <v>80.73</v>
      </c>
    </row>
    <row r="9" spans="1:11" ht="15.75" customHeight="1" x14ac:dyDescent="0.2">
      <c r="A9" s="62" t="s">
        <v>16</v>
      </c>
      <c r="B9" s="57"/>
      <c r="C9" s="57"/>
      <c r="D9" s="57"/>
      <c r="E9" s="57"/>
      <c r="F9" s="57"/>
      <c r="G9" s="57"/>
      <c r="H9" s="57"/>
      <c r="I9" s="57"/>
      <c r="J9" s="58">
        <f t="shared" si="0"/>
        <v>0</v>
      </c>
      <c r="K9" s="58">
        <f t="shared" si="1"/>
        <v>0</v>
      </c>
    </row>
    <row r="10" spans="1:11" ht="15.75" customHeight="1" x14ac:dyDescent="0.2">
      <c r="A10" s="62" t="s">
        <v>17</v>
      </c>
      <c r="B10" s="57"/>
      <c r="C10" s="57"/>
      <c r="D10" s="57"/>
      <c r="E10" s="57"/>
      <c r="F10" s="57"/>
      <c r="G10" s="57"/>
      <c r="H10" s="57"/>
      <c r="I10" s="57"/>
      <c r="J10" s="58">
        <f t="shared" si="0"/>
        <v>0</v>
      </c>
      <c r="K10" s="58">
        <f t="shared" si="1"/>
        <v>0</v>
      </c>
    </row>
    <row r="11" spans="1:11" ht="15.75" customHeight="1" x14ac:dyDescent="0.2">
      <c r="A11" s="62" t="s">
        <v>18</v>
      </c>
      <c r="B11" s="57"/>
      <c r="C11" s="57"/>
      <c r="D11" s="57"/>
      <c r="E11" s="57"/>
      <c r="F11" s="57"/>
      <c r="G11" s="57"/>
      <c r="H11" s="57"/>
      <c r="I11" s="57"/>
      <c r="J11" s="58">
        <f t="shared" si="0"/>
        <v>0</v>
      </c>
      <c r="K11" s="58">
        <f t="shared" si="1"/>
        <v>0</v>
      </c>
    </row>
    <row r="12" spans="1:11" ht="15.75" customHeight="1" x14ac:dyDescent="0.2">
      <c r="A12" s="62" t="s">
        <v>19</v>
      </c>
      <c r="B12" s="57"/>
      <c r="C12" s="57"/>
      <c r="D12" s="57"/>
      <c r="E12" s="57"/>
      <c r="F12" s="57"/>
      <c r="G12" s="57"/>
      <c r="H12" s="57"/>
      <c r="I12" s="57"/>
      <c r="J12" s="58">
        <f t="shared" si="0"/>
        <v>0</v>
      </c>
      <c r="K12" s="58">
        <f t="shared" si="1"/>
        <v>0</v>
      </c>
    </row>
    <row r="13" spans="1:11" ht="15.75" customHeight="1" x14ac:dyDescent="0.2">
      <c r="A13" s="62" t="s">
        <v>20</v>
      </c>
      <c r="B13" s="57">
        <v>40.799999999999997</v>
      </c>
      <c r="C13" s="57">
        <v>433.12</v>
      </c>
      <c r="D13" s="57"/>
      <c r="E13" s="57"/>
      <c r="F13" s="57"/>
      <c r="G13" s="57"/>
      <c r="H13" s="57"/>
      <c r="I13" s="57"/>
      <c r="J13" s="58">
        <f t="shared" si="0"/>
        <v>40.799999999999997</v>
      </c>
      <c r="K13" s="58">
        <f t="shared" si="1"/>
        <v>433.12</v>
      </c>
    </row>
    <row r="14" spans="1:11" ht="15.75" customHeight="1" x14ac:dyDescent="0.2">
      <c r="A14" s="62" t="s">
        <v>21</v>
      </c>
      <c r="B14" s="57"/>
      <c r="C14" s="57"/>
      <c r="D14" s="57"/>
      <c r="E14" s="57"/>
      <c r="F14" s="57"/>
      <c r="G14" s="57"/>
      <c r="H14" s="57">
        <v>18.78</v>
      </c>
      <c r="I14" s="57">
        <v>225.05</v>
      </c>
      <c r="J14" s="58">
        <f t="shared" si="0"/>
        <v>18.78</v>
      </c>
      <c r="K14" s="58">
        <f t="shared" si="1"/>
        <v>225.05</v>
      </c>
    </row>
    <row r="15" spans="1:11" ht="15.75" customHeight="1" x14ac:dyDescent="0.2">
      <c r="A15" s="62" t="s">
        <v>22</v>
      </c>
      <c r="B15" s="57">
        <v>10.348000000000001</v>
      </c>
      <c r="C15" s="57">
        <v>6.03</v>
      </c>
      <c r="D15" s="57">
        <v>8.61</v>
      </c>
      <c r="E15" s="57">
        <v>13.214</v>
      </c>
      <c r="F15" s="57">
        <v>1.536</v>
      </c>
      <c r="G15" s="57">
        <v>1.93</v>
      </c>
      <c r="H15" s="57">
        <v>2.31</v>
      </c>
      <c r="I15" s="57">
        <v>3.1419999999999999</v>
      </c>
      <c r="J15" s="58">
        <f t="shared" si="0"/>
        <v>22.803999999999998</v>
      </c>
      <c r="K15" s="58">
        <f t="shared" si="1"/>
        <v>24.315999999999999</v>
      </c>
    </row>
    <row r="16" spans="1:11" ht="15.75" customHeight="1" x14ac:dyDescent="0.2">
      <c r="A16" s="62" t="s">
        <v>23</v>
      </c>
      <c r="B16" s="57"/>
      <c r="C16" s="57"/>
      <c r="D16" s="57"/>
      <c r="E16" s="57"/>
      <c r="F16" s="57"/>
      <c r="G16" s="57"/>
      <c r="H16" s="57">
        <v>13.882</v>
      </c>
      <c r="I16" s="57">
        <v>20.814</v>
      </c>
      <c r="J16" s="58">
        <f t="shared" si="0"/>
        <v>13.882</v>
      </c>
      <c r="K16" s="58">
        <f t="shared" si="1"/>
        <v>20.814</v>
      </c>
    </row>
    <row r="17" spans="1:11" ht="15.75" customHeight="1" x14ac:dyDescent="0.2">
      <c r="A17" s="62" t="s">
        <v>24</v>
      </c>
      <c r="B17" s="57">
        <v>8.7899999999999991</v>
      </c>
      <c r="C17" s="57">
        <v>87.667000000000002</v>
      </c>
      <c r="D17" s="57"/>
      <c r="E17" s="57"/>
      <c r="F17" s="57"/>
      <c r="G17" s="57"/>
      <c r="H17" s="57"/>
      <c r="I17" s="57"/>
      <c r="J17" s="58">
        <f t="shared" si="0"/>
        <v>8.7899999999999991</v>
      </c>
      <c r="K17" s="58">
        <f t="shared" si="1"/>
        <v>87.667000000000002</v>
      </c>
    </row>
    <row r="18" spans="1:11" ht="15.75" customHeight="1" x14ac:dyDescent="0.2">
      <c r="A18" s="62" t="s">
        <v>25</v>
      </c>
      <c r="B18" s="57">
        <v>11.8</v>
      </c>
      <c r="C18" s="57">
        <v>275.2</v>
      </c>
      <c r="D18" s="57">
        <v>3.2</v>
      </c>
      <c r="E18" s="57">
        <v>71.8</v>
      </c>
      <c r="F18" s="57">
        <v>2.9</v>
      </c>
      <c r="G18" s="57">
        <v>50.6</v>
      </c>
      <c r="H18" s="57">
        <v>0.2</v>
      </c>
      <c r="I18" s="57">
        <v>1.4</v>
      </c>
      <c r="J18" s="58">
        <f t="shared" si="0"/>
        <v>18.099999999999998</v>
      </c>
      <c r="K18" s="58">
        <f t="shared" si="1"/>
        <v>399</v>
      </c>
    </row>
    <row r="19" spans="1:11" ht="15.75" customHeight="1" x14ac:dyDescent="0.2">
      <c r="A19" s="62" t="s">
        <v>26</v>
      </c>
      <c r="B19" s="57"/>
      <c r="C19" s="57"/>
      <c r="D19" s="57"/>
      <c r="E19" s="57"/>
      <c r="F19" s="57"/>
      <c r="G19" s="57"/>
      <c r="H19" s="57"/>
      <c r="I19" s="57"/>
      <c r="J19" s="58">
        <f t="shared" si="0"/>
        <v>0</v>
      </c>
      <c r="K19" s="58">
        <f t="shared" si="1"/>
        <v>0</v>
      </c>
    </row>
    <row r="20" spans="1:11" ht="15.75" customHeight="1" x14ac:dyDescent="0.2">
      <c r="A20" s="62" t="s">
        <v>58</v>
      </c>
      <c r="B20" s="57"/>
      <c r="C20" s="57"/>
      <c r="D20" s="57"/>
      <c r="E20" s="57"/>
      <c r="F20" s="57"/>
      <c r="G20" s="57"/>
      <c r="H20" s="57"/>
      <c r="I20" s="57"/>
      <c r="J20" s="58">
        <f t="shared" si="0"/>
        <v>0</v>
      </c>
      <c r="K20" s="58">
        <f t="shared" si="1"/>
        <v>0</v>
      </c>
    </row>
    <row r="21" spans="1:11" ht="15.75" customHeight="1" x14ac:dyDescent="0.2">
      <c r="A21" s="62" t="s">
        <v>27</v>
      </c>
      <c r="B21" s="57">
        <v>10.683999999999999</v>
      </c>
      <c r="C21" s="57">
        <v>235</v>
      </c>
      <c r="D21" s="57">
        <v>49.518999999999998</v>
      </c>
      <c r="E21" s="57">
        <v>844</v>
      </c>
      <c r="F21" s="57">
        <v>8.5269999999999992</v>
      </c>
      <c r="G21" s="57">
        <v>109</v>
      </c>
      <c r="H21" s="57"/>
      <c r="I21" s="57"/>
      <c r="J21" s="58">
        <f t="shared" si="0"/>
        <v>68.72999999999999</v>
      </c>
      <c r="K21" s="58">
        <f t="shared" si="1"/>
        <v>1188</v>
      </c>
    </row>
    <row r="22" spans="1:11" ht="15.75" customHeight="1" x14ac:dyDescent="0.2">
      <c r="A22" s="62" t="s">
        <v>28</v>
      </c>
      <c r="B22" s="57">
        <v>45</v>
      </c>
      <c r="C22" s="57">
        <v>246</v>
      </c>
      <c r="D22" s="57">
        <v>133</v>
      </c>
      <c r="E22" s="57">
        <v>370</v>
      </c>
      <c r="F22" s="57">
        <v>99</v>
      </c>
      <c r="G22" s="57">
        <v>245</v>
      </c>
      <c r="H22" s="57"/>
      <c r="I22" s="57"/>
      <c r="J22" s="58">
        <f t="shared" si="0"/>
        <v>277</v>
      </c>
      <c r="K22" s="58">
        <f t="shared" si="1"/>
        <v>861</v>
      </c>
    </row>
    <row r="23" spans="1:11" ht="15.75" customHeight="1" x14ac:dyDescent="0.2">
      <c r="A23" s="64" t="s">
        <v>29</v>
      </c>
      <c r="B23" s="57">
        <v>5.65</v>
      </c>
      <c r="C23" s="57">
        <v>40.159999999999997</v>
      </c>
      <c r="D23" s="57">
        <v>5.0199999999999996</v>
      </c>
      <c r="E23" s="57">
        <v>32.64</v>
      </c>
      <c r="F23" s="57"/>
      <c r="G23" s="57"/>
      <c r="H23" s="57"/>
      <c r="I23" s="57"/>
      <c r="J23" s="58">
        <f t="shared" si="0"/>
        <v>10.67</v>
      </c>
      <c r="K23" s="58">
        <f t="shared" si="1"/>
        <v>72.8</v>
      </c>
    </row>
    <row r="24" spans="1:11" ht="15.75" customHeight="1" x14ac:dyDescent="0.2">
      <c r="A24" s="62" t="s">
        <v>30</v>
      </c>
      <c r="B24" s="57">
        <v>1.069</v>
      </c>
      <c r="C24" s="57">
        <v>3.7240000000000002</v>
      </c>
      <c r="D24" s="57">
        <v>8.4220000000000006</v>
      </c>
      <c r="E24" s="57">
        <v>39.624000000000002</v>
      </c>
      <c r="F24" s="57"/>
      <c r="G24" s="57"/>
      <c r="H24" s="57">
        <v>0.53800000000000003</v>
      </c>
      <c r="I24" s="57">
        <v>0.76</v>
      </c>
      <c r="J24" s="58">
        <f t="shared" si="0"/>
        <v>10.029</v>
      </c>
      <c r="K24" s="58">
        <f t="shared" si="1"/>
        <v>44.107999999999997</v>
      </c>
    </row>
    <row r="25" spans="1:11" ht="15.75" customHeight="1" x14ac:dyDescent="0.2">
      <c r="A25" s="62" t="s">
        <v>31</v>
      </c>
      <c r="B25" s="57">
        <v>7.93</v>
      </c>
      <c r="C25" s="57">
        <v>25.143000000000001</v>
      </c>
      <c r="D25" s="57">
        <v>8.9600000000000009</v>
      </c>
      <c r="E25" s="57">
        <v>24.102</v>
      </c>
      <c r="F25" s="57">
        <v>1.5</v>
      </c>
      <c r="G25" s="57">
        <v>4.6500000000000004</v>
      </c>
      <c r="H25" s="57">
        <v>2.12</v>
      </c>
      <c r="I25" s="57">
        <v>6.78</v>
      </c>
      <c r="J25" s="58">
        <f t="shared" si="0"/>
        <v>20.51</v>
      </c>
      <c r="K25" s="58">
        <f t="shared" si="1"/>
        <v>60.675000000000004</v>
      </c>
    </row>
    <row r="26" spans="1:11" ht="17.25" customHeight="1" x14ac:dyDescent="0.2">
      <c r="A26" s="63" t="s">
        <v>32</v>
      </c>
      <c r="B26" s="57">
        <v>1.5</v>
      </c>
      <c r="C26" s="57">
        <v>10</v>
      </c>
      <c r="D26" s="57">
        <v>5.5</v>
      </c>
      <c r="E26" s="57">
        <v>50</v>
      </c>
      <c r="F26" s="57">
        <v>0.25</v>
      </c>
      <c r="G26" s="57">
        <v>2</v>
      </c>
      <c r="H26" s="57"/>
      <c r="I26" s="57"/>
      <c r="J26" s="58">
        <f t="shared" si="0"/>
        <v>7.25</v>
      </c>
      <c r="K26" s="58">
        <f t="shared" si="1"/>
        <v>62</v>
      </c>
    </row>
    <row r="27" spans="1:11" ht="15.75" customHeight="1" x14ac:dyDescent="0.2">
      <c r="A27" s="62" t="s">
        <v>209</v>
      </c>
      <c r="B27" s="57"/>
      <c r="C27" s="57"/>
      <c r="D27" s="57"/>
      <c r="E27" s="57"/>
      <c r="F27" s="57"/>
      <c r="G27" s="57"/>
      <c r="H27" s="57">
        <v>27.79</v>
      </c>
      <c r="I27" s="57">
        <v>270.64999999999998</v>
      </c>
      <c r="J27" s="58">
        <f t="shared" si="0"/>
        <v>27.79</v>
      </c>
      <c r="K27" s="58">
        <f t="shared" si="1"/>
        <v>270.64999999999998</v>
      </c>
    </row>
    <row r="28" spans="1:11" ht="15.75" customHeight="1" x14ac:dyDescent="0.2">
      <c r="A28" s="63" t="s">
        <v>181</v>
      </c>
      <c r="B28" s="57">
        <v>1.2E-2</v>
      </c>
      <c r="C28" s="57">
        <v>8.7999999999999995E-2</v>
      </c>
      <c r="D28" s="57"/>
      <c r="E28" s="57"/>
      <c r="F28" s="57"/>
      <c r="G28" s="57"/>
      <c r="H28" s="57"/>
      <c r="I28" s="57"/>
      <c r="J28" s="58">
        <f t="shared" si="0"/>
        <v>1.2E-2</v>
      </c>
      <c r="K28" s="58">
        <f t="shared" si="1"/>
        <v>8.7999999999999995E-2</v>
      </c>
    </row>
    <row r="29" spans="1:11" ht="15.75" customHeight="1" x14ac:dyDescent="0.2">
      <c r="A29" s="62" t="s">
        <v>33</v>
      </c>
      <c r="B29" s="57">
        <v>0.63</v>
      </c>
      <c r="C29" s="57">
        <v>4.83</v>
      </c>
      <c r="D29" s="57">
        <v>45.85</v>
      </c>
      <c r="E29" s="57">
        <v>988.63</v>
      </c>
      <c r="F29" s="57">
        <v>2.76</v>
      </c>
      <c r="G29" s="57">
        <v>22.17</v>
      </c>
      <c r="H29" s="57"/>
      <c r="I29" s="57"/>
      <c r="J29" s="58">
        <f t="shared" si="0"/>
        <v>49.24</v>
      </c>
      <c r="K29" s="58">
        <f t="shared" si="1"/>
        <v>1015.63</v>
      </c>
    </row>
    <row r="30" spans="1:11" ht="15.75" customHeight="1" x14ac:dyDescent="0.2">
      <c r="A30" s="62" t="s">
        <v>34</v>
      </c>
      <c r="B30" s="57">
        <v>4.51</v>
      </c>
      <c r="C30" s="57">
        <v>33.94</v>
      </c>
      <c r="D30" s="57">
        <v>10.5</v>
      </c>
      <c r="E30" s="57">
        <v>227.38</v>
      </c>
      <c r="F30" s="57">
        <v>1.7</v>
      </c>
      <c r="G30" s="57">
        <v>16.670000000000002</v>
      </c>
      <c r="H30" s="57">
        <v>8</v>
      </c>
      <c r="I30" s="57">
        <v>177.6</v>
      </c>
      <c r="J30" s="58">
        <f t="shared" si="0"/>
        <v>24.71</v>
      </c>
      <c r="K30" s="58">
        <f t="shared" si="1"/>
        <v>455.59000000000003</v>
      </c>
    </row>
    <row r="31" spans="1:11" ht="15.75" customHeight="1" x14ac:dyDescent="0.2">
      <c r="A31" s="62" t="s">
        <v>35</v>
      </c>
      <c r="B31" s="57"/>
      <c r="C31" s="57"/>
      <c r="D31" s="57">
        <v>9.4570000000000007</v>
      </c>
      <c r="E31" s="57">
        <v>16.850000000000001</v>
      </c>
      <c r="F31" s="57"/>
      <c r="G31" s="57"/>
      <c r="H31" s="57"/>
      <c r="I31" s="57"/>
      <c r="J31" s="58">
        <f t="shared" si="0"/>
        <v>9.4570000000000007</v>
      </c>
      <c r="K31" s="58">
        <f t="shared" si="1"/>
        <v>16.850000000000001</v>
      </c>
    </row>
    <row r="32" spans="1:11" ht="15.75" customHeight="1" x14ac:dyDescent="0.2">
      <c r="A32" s="62" t="s">
        <v>36</v>
      </c>
      <c r="B32" s="57">
        <v>8.42</v>
      </c>
      <c r="C32" s="57">
        <v>20.14</v>
      </c>
      <c r="D32" s="57">
        <v>1.99</v>
      </c>
      <c r="E32" s="57">
        <v>3.74</v>
      </c>
      <c r="F32" s="57">
        <v>0.11</v>
      </c>
      <c r="G32" s="57">
        <v>3.49</v>
      </c>
      <c r="H32" s="57">
        <v>0.26</v>
      </c>
      <c r="I32" s="57">
        <v>8.7200000000000006</v>
      </c>
      <c r="J32" s="58">
        <f t="shared" si="0"/>
        <v>10.78</v>
      </c>
      <c r="K32" s="58">
        <f t="shared" si="1"/>
        <v>36.090000000000003</v>
      </c>
    </row>
    <row r="33" spans="1:11" ht="15.75" customHeight="1" x14ac:dyDescent="0.2">
      <c r="A33" s="62" t="s">
        <v>37</v>
      </c>
      <c r="B33" s="57">
        <v>3.86</v>
      </c>
      <c r="C33" s="57">
        <v>18.420000000000002</v>
      </c>
      <c r="D33" s="57">
        <v>5.28</v>
      </c>
      <c r="E33" s="57">
        <v>28.41</v>
      </c>
      <c r="F33" s="57">
        <v>0.36</v>
      </c>
      <c r="G33" s="57">
        <v>0.32</v>
      </c>
      <c r="H33" s="57"/>
      <c r="I33" s="57"/>
      <c r="J33" s="58">
        <f t="shared" si="0"/>
        <v>9.5</v>
      </c>
      <c r="K33" s="58">
        <f t="shared" si="1"/>
        <v>47.15</v>
      </c>
    </row>
    <row r="34" spans="1:11" ht="15.75" customHeight="1" x14ac:dyDescent="0.2">
      <c r="A34" s="62" t="s">
        <v>38</v>
      </c>
      <c r="B34" s="57">
        <v>0.55300000000000005</v>
      </c>
      <c r="C34" s="57">
        <v>1.6020000000000001</v>
      </c>
      <c r="D34" s="57"/>
      <c r="E34" s="57"/>
      <c r="F34" s="57"/>
      <c r="G34" s="57"/>
      <c r="H34" s="57"/>
      <c r="I34" s="57"/>
      <c r="J34" s="58">
        <f t="shared" si="0"/>
        <v>0.55300000000000005</v>
      </c>
      <c r="K34" s="58">
        <f t="shared" si="1"/>
        <v>1.6020000000000001</v>
      </c>
    </row>
    <row r="35" spans="1:11" ht="15.75" customHeight="1" x14ac:dyDescent="0.2">
      <c r="A35" s="62" t="s">
        <v>98</v>
      </c>
      <c r="B35" s="57"/>
      <c r="C35" s="57"/>
      <c r="D35" s="57"/>
      <c r="E35" s="57"/>
      <c r="F35" s="57"/>
      <c r="G35" s="57"/>
      <c r="H35" s="57">
        <v>27.965</v>
      </c>
      <c r="I35" s="57">
        <v>138.98599999999999</v>
      </c>
      <c r="J35" s="58">
        <f t="shared" si="0"/>
        <v>27.965</v>
      </c>
      <c r="K35" s="58">
        <f t="shared" si="1"/>
        <v>138.98599999999999</v>
      </c>
    </row>
    <row r="36" spans="1:11" ht="15.75" customHeight="1" x14ac:dyDescent="0.2">
      <c r="A36" s="62" t="s">
        <v>40</v>
      </c>
      <c r="B36" s="57"/>
      <c r="C36" s="57"/>
      <c r="D36" s="57"/>
      <c r="E36" s="57"/>
      <c r="F36" s="57"/>
      <c r="G36" s="57"/>
      <c r="H36" s="57">
        <v>11.71</v>
      </c>
      <c r="I36" s="57">
        <v>109.4</v>
      </c>
      <c r="J36" s="58">
        <f t="shared" si="0"/>
        <v>11.71</v>
      </c>
      <c r="K36" s="58">
        <f t="shared" si="1"/>
        <v>109.4</v>
      </c>
    </row>
    <row r="37" spans="1:11" ht="15.75" customHeight="1" x14ac:dyDescent="0.2">
      <c r="A37" s="62"/>
      <c r="B37" s="57"/>
      <c r="C37" s="57"/>
      <c r="D37" s="57"/>
      <c r="E37" s="57"/>
      <c r="F37" s="57"/>
      <c r="G37" s="57"/>
      <c r="H37" s="57"/>
      <c r="I37" s="57"/>
      <c r="J37" s="58"/>
      <c r="K37" s="58"/>
    </row>
    <row r="38" spans="1:11" ht="15.75" customHeight="1" x14ac:dyDescent="0.2">
      <c r="A38" s="62" t="s">
        <v>9</v>
      </c>
      <c r="B38" s="58">
        <f>SUM(B3:B37)</f>
        <v>255.20699999999997</v>
      </c>
      <c r="C38" s="58">
        <f t="shared" ref="C38:K38" si="2">SUM(C3:C37)</f>
        <v>2523.509</v>
      </c>
      <c r="D38" s="58">
        <f t="shared" si="2"/>
        <v>311.17599999999999</v>
      </c>
      <c r="E38" s="58">
        <f t="shared" si="2"/>
        <v>2906.308</v>
      </c>
      <c r="F38" s="58">
        <f t="shared" si="2"/>
        <v>323.154</v>
      </c>
      <c r="G38" s="58">
        <f t="shared" si="2"/>
        <v>3519.9079999999999</v>
      </c>
      <c r="H38" s="58">
        <f t="shared" si="2"/>
        <v>152.95100000000002</v>
      </c>
      <c r="I38" s="58">
        <f t="shared" si="2"/>
        <v>1140.009</v>
      </c>
      <c r="J38" s="58">
        <f t="shared" si="2"/>
        <v>1042.4879999999998</v>
      </c>
      <c r="K38" s="58">
        <f t="shared" si="2"/>
        <v>10089.734000000002</v>
      </c>
    </row>
    <row r="39" spans="1:11" ht="15.75" customHeight="1" x14ac:dyDescent="0.2">
      <c r="A39" s="60" t="s">
        <v>240</v>
      </c>
    </row>
    <row r="40" spans="1:11" ht="15.75" customHeight="1" x14ac:dyDescent="0.2">
      <c r="A40" s="60" t="s">
        <v>239</v>
      </c>
    </row>
  </sheetData>
  <mergeCells count="5">
    <mergeCell ref="J1:K1"/>
    <mergeCell ref="B1:C1"/>
    <mergeCell ref="D1:E1"/>
    <mergeCell ref="F1:G1"/>
    <mergeCell ref="H1:I1"/>
  </mergeCells>
  <phoneticPr fontId="24" type="noConversion"/>
  <printOptions horizontalCentered="1" verticalCentered="1"/>
  <pageMargins left="0.25" right="0.25" top="0.25" bottom="0.25" header="0.25" footer="0.25"/>
  <pageSetup scale="80" orientation="landscape" r:id="rId1"/>
  <headerFooter alignWithMargins="0">
    <oddHeader xml:space="preserve">&amp;C&amp;"Arial,Bold"&amp;12&amp;UArea and Production of Citrus Crops 2012-13 (Final)&amp;R&amp;"Arial,Bold"&amp;8Area in '000 Ha 
Prdouction in '000 MT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zoomScaleNormal="100" workbookViewId="0">
      <pane xSplit="1" ySplit="2" topLeftCell="AJ27" activePane="bottomRight" state="frozen"/>
      <selection pane="topRight" activeCell="B1" sqref="B1"/>
      <selection pane="bottomLeft" activeCell="A3" sqref="A3"/>
      <selection pane="bottomRight" activeCell="AJ41" sqref="AJ41"/>
    </sheetView>
  </sheetViews>
  <sheetFormatPr defaultRowHeight="17.25" customHeight="1" x14ac:dyDescent="0.2"/>
  <cols>
    <col min="1" max="1" width="21.85546875" style="56" customWidth="1"/>
    <col min="2" max="8" width="9.5703125" style="56" bestFit="1" customWidth="1"/>
    <col min="9" max="9" width="9.7109375" style="56" bestFit="1" customWidth="1"/>
    <col min="10" max="14" width="9.5703125" style="56" bestFit="1" customWidth="1"/>
    <col min="15" max="19" width="9.42578125" style="56" bestFit="1" customWidth="1"/>
    <col min="20" max="20" width="7.85546875" style="56" customWidth="1"/>
    <col min="21" max="21" width="8.7109375" style="56" customWidth="1"/>
    <col min="22" max="23" width="9.42578125" style="56" bestFit="1" customWidth="1"/>
    <col min="24" max="25" width="9.5703125" style="56" bestFit="1" customWidth="1"/>
    <col min="26" max="27" width="9.42578125" style="56" bestFit="1" customWidth="1"/>
    <col min="28" max="30" width="9.5703125" style="56" bestFit="1" customWidth="1"/>
    <col min="31" max="31" width="9.7109375" style="56" bestFit="1" customWidth="1"/>
    <col min="32" max="33" width="9.5703125" style="56" bestFit="1" customWidth="1"/>
    <col min="34" max="35" width="10.28515625" style="56" customWidth="1"/>
    <col min="36" max="36" width="9.5703125" style="56" bestFit="1" customWidth="1"/>
    <col min="37" max="37" width="9.42578125" style="56" bestFit="1" customWidth="1"/>
    <col min="38" max="38" width="8.7109375" style="56" customWidth="1"/>
    <col min="39" max="39" width="9.28515625" style="56" customWidth="1"/>
    <col min="40" max="45" width="9.42578125" style="56" bestFit="1" customWidth="1"/>
    <col min="46" max="46" width="9.5703125" style="56" bestFit="1" customWidth="1"/>
    <col min="47" max="47" width="10.5703125" style="56" bestFit="1" customWidth="1"/>
    <col min="48" max="16384" width="9.140625" style="56"/>
  </cols>
  <sheetData>
    <row r="1" spans="1:47" ht="17.25" customHeight="1" x14ac:dyDescent="0.2">
      <c r="A1" s="55" t="s">
        <v>97</v>
      </c>
      <c r="B1" s="113" t="s">
        <v>120</v>
      </c>
      <c r="C1" s="114"/>
      <c r="D1" s="106" t="s">
        <v>207</v>
      </c>
      <c r="E1" s="107"/>
      <c r="F1" s="106" t="s">
        <v>208</v>
      </c>
      <c r="G1" s="107"/>
      <c r="H1" s="106" t="s">
        <v>41</v>
      </c>
      <c r="I1" s="107"/>
      <c r="J1" s="105" t="s">
        <v>42</v>
      </c>
      <c r="K1" s="105"/>
      <c r="L1" s="105" t="s">
        <v>121</v>
      </c>
      <c r="M1" s="105"/>
      <c r="N1" s="105" t="s">
        <v>122</v>
      </c>
      <c r="O1" s="105"/>
      <c r="P1" s="105" t="s">
        <v>123</v>
      </c>
      <c r="Q1" s="105"/>
      <c r="R1" s="105" t="s">
        <v>124</v>
      </c>
      <c r="S1" s="105"/>
      <c r="T1" s="105" t="s">
        <v>125</v>
      </c>
      <c r="U1" s="105"/>
      <c r="V1" s="105" t="s">
        <v>43</v>
      </c>
      <c r="W1" s="105"/>
      <c r="X1" s="105" t="s">
        <v>46</v>
      </c>
      <c r="Y1" s="105"/>
      <c r="Z1" s="105" t="s">
        <v>212</v>
      </c>
      <c r="AA1" s="105"/>
      <c r="AB1" s="105" t="s">
        <v>44</v>
      </c>
      <c r="AC1" s="105"/>
      <c r="AD1" s="105" t="s">
        <v>47</v>
      </c>
      <c r="AE1" s="105"/>
      <c r="AF1" s="106" t="s">
        <v>126</v>
      </c>
      <c r="AG1" s="107"/>
      <c r="AH1" s="105" t="s">
        <v>127</v>
      </c>
      <c r="AI1" s="105"/>
      <c r="AJ1" s="105" t="s">
        <v>128</v>
      </c>
      <c r="AK1" s="105"/>
      <c r="AL1" s="105" t="s">
        <v>48</v>
      </c>
      <c r="AM1" s="105"/>
      <c r="AN1" s="105" t="s">
        <v>45</v>
      </c>
      <c r="AO1" s="105"/>
      <c r="AP1" s="105" t="s">
        <v>129</v>
      </c>
      <c r="AQ1" s="105"/>
      <c r="AR1" s="105" t="s">
        <v>8</v>
      </c>
      <c r="AS1" s="105"/>
      <c r="AT1" s="105" t="s">
        <v>9</v>
      </c>
      <c r="AU1" s="105"/>
    </row>
    <row r="2" spans="1:47" ht="17.25" customHeight="1" x14ac:dyDescent="0.2">
      <c r="A2" s="26"/>
      <c r="B2" s="55" t="s">
        <v>49</v>
      </c>
      <c r="C2" s="55" t="s">
        <v>10</v>
      </c>
      <c r="D2" s="55" t="s">
        <v>49</v>
      </c>
      <c r="E2" s="55" t="s">
        <v>10</v>
      </c>
      <c r="F2" s="55" t="s">
        <v>49</v>
      </c>
      <c r="G2" s="55" t="s">
        <v>10</v>
      </c>
      <c r="H2" s="55" t="s">
        <v>49</v>
      </c>
      <c r="I2" s="55" t="s">
        <v>10</v>
      </c>
      <c r="J2" s="55" t="s">
        <v>49</v>
      </c>
      <c r="K2" s="55" t="s">
        <v>10</v>
      </c>
      <c r="L2" s="55" t="s">
        <v>49</v>
      </c>
      <c r="M2" s="55" t="s">
        <v>10</v>
      </c>
      <c r="N2" s="55" t="s">
        <v>49</v>
      </c>
      <c r="O2" s="55" t="s">
        <v>10</v>
      </c>
      <c r="P2" s="55" t="s">
        <v>49</v>
      </c>
      <c r="Q2" s="55" t="s">
        <v>10</v>
      </c>
      <c r="R2" s="55" t="s">
        <v>49</v>
      </c>
      <c r="S2" s="55" t="s">
        <v>10</v>
      </c>
      <c r="T2" s="55" t="s">
        <v>49</v>
      </c>
      <c r="U2" s="55" t="s">
        <v>10</v>
      </c>
      <c r="V2" s="55" t="s">
        <v>49</v>
      </c>
      <c r="W2" s="55" t="s">
        <v>10</v>
      </c>
      <c r="X2" s="55" t="s">
        <v>49</v>
      </c>
      <c r="Y2" s="55" t="s">
        <v>10</v>
      </c>
      <c r="Z2" s="55" t="s">
        <v>49</v>
      </c>
      <c r="AA2" s="55" t="s">
        <v>10</v>
      </c>
      <c r="AB2" s="55" t="s">
        <v>49</v>
      </c>
      <c r="AC2" s="55" t="s">
        <v>10</v>
      </c>
      <c r="AD2" s="55" t="s">
        <v>49</v>
      </c>
      <c r="AE2" s="55" t="s">
        <v>10</v>
      </c>
      <c r="AF2" s="55" t="s">
        <v>49</v>
      </c>
      <c r="AG2" s="55" t="s">
        <v>10</v>
      </c>
      <c r="AH2" s="55" t="s">
        <v>49</v>
      </c>
      <c r="AI2" s="55" t="s">
        <v>10</v>
      </c>
      <c r="AJ2" s="55" t="s">
        <v>49</v>
      </c>
      <c r="AK2" s="55" t="s">
        <v>10</v>
      </c>
      <c r="AL2" s="55" t="s">
        <v>49</v>
      </c>
      <c r="AM2" s="55" t="s">
        <v>10</v>
      </c>
      <c r="AN2" s="55" t="s">
        <v>49</v>
      </c>
      <c r="AO2" s="55" t="s">
        <v>10</v>
      </c>
      <c r="AP2" s="55" t="s">
        <v>49</v>
      </c>
      <c r="AQ2" s="55" t="s">
        <v>10</v>
      </c>
      <c r="AR2" s="55" t="s">
        <v>49</v>
      </c>
      <c r="AS2" s="55" t="s">
        <v>10</v>
      </c>
      <c r="AT2" s="55" t="s">
        <v>49</v>
      </c>
      <c r="AU2" s="55" t="s">
        <v>10</v>
      </c>
    </row>
    <row r="3" spans="1:47" ht="17.25" customHeight="1" x14ac:dyDescent="0.2">
      <c r="A3" s="27" t="s">
        <v>11</v>
      </c>
      <c r="B3" s="57"/>
      <c r="C3" s="57"/>
      <c r="D3" s="57">
        <v>0.51500000000000001</v>
      </c>
      <c r="E3" s="57">
        <v>1.72</v>
      </c>
      <c r="F3" s="57">
        <v>0.14499999999999999</v>
      </c>
      <c r="G3" s="57">
        <v>1.2749999999999999</v>
      </c>
      <c r="H3" s="57">
        <v>0.45500000000000002</v>
      </c>
      <c r="I3" s="57">
        <v>3.55</v>
      </c>
      <c r="J3" s="57">
        <v>0.19</v>
      </c>
      <c r="K3" s="57">
        <v>1.4</v>
      </c>
      <c r="L3" s="57"/>
      <c r="M3" s="57"/>
      <c r="N3" s="57"/>
      <c r="O3" s="57"/>
      <c r="P3" s="57">
        <v>0.28499999999999998</v>
      </c>
      <c r="Q3" s="57">
        <v>1.82</v>
      </c>
      <c r="R3" s="57">
        <v>0.21</v>
      </c>
      <c r="S3" s="57">
        <v>1.05</v>
      </c>
      <c r="T3" s="57">
        <v>7.4999999999999997E-2</v>
      </c>
      <c r="U3" s="57">
        <v>0.3</v>
      </c>
      <c r="V3" s="57">
        <v>0.53</v>
      </c>
      <c r="W3" s="57">
        <v>3.7</v>
      </c>
      <c r="X3" s="65"/>
      <c r="Y3" s="65"/>
      <c r="Z3" s="57"/>
      <c r="AA3" s="57"/>
      <c r="AB3" s="57"/>
      <c r="AC3" s="57"/>
      <c r="AD3" s="65"/>
      <c r="AE3" s="65"/>
      <c r="AF3" s="57">
        <v>0.28000000000000003</v>
      </c>
      <c r="AG3" s="57">
        <v>2.0499999999999998</v>
      </c>
      <c r="AH3" s="57">
        <v>0.28199999999999997</v>
      </c>
      <c r="AI3" s="57">
        <v>2.57</v>
      </c>
      <c r="AJ3" s="57">
        <v>0.14499999999999999</v>
      </c>
      <c r="AK3" s="57">
        <v>0.85</v>
      </c>
      <c r="AL3" s="57">
        <v>0.27</v>
      </c>
      <c r="AM3" s="57">
        <v>2.12</v>
      </c>
      <c r="AN3" s="57">
        <v>0.13500000000000001</v>
      </c>
      <c r="AO3" s="57">
        <v>1.22</v>
      </c>
      <c r="AP3" s="57">
        <v>1.4999999999999999E-2</v>
      </c>
      <c r="AQ3" s="57">
        <v>0.108</v>
      </c>
      <c r="AR3" s="57">
        <f>2.55+0.28</f>
        <v>2.83</v>
      </c>
      <c r="AS3" s="57">
        <f>20+0.425</f>
        <v>20.425000000000001</v>
      </c>
      <c r="AT3" s="58">
        <f>B3+D3+F3+H3+J3+L3+N3+P3+R3+T3+V3+X3+Z3+AB3+AD3+AF3+AH3+AJ3+AL3+AN3+AP3+AR3</f>
        <v>6.3620000000000001</v>
      </c>
      <c r="AU3" s="58">
        <f>C3+E3+G3+I3+K3+M3+O3+Q3+S3+U3+W3+Y3+AA3+AC3+AE3+AG3+AI3+AK3+AM3+AO3+AQ3+AS3</f>
        <v>44.158000000000001</v>
      </c>
    </row>
    <row r="4" spans="1:47" ht="17.25" customHeight="1" x14ac:dyDescent="0.2">
      <c r="A4" s="27" t="s">
        <v>12</v>
      </c>
      <c r="B4" s="57">
        <v>19.516999999999999</v>
      </c>
      <c r="C4" s="57">
        <v>234.20699999999999</v>
      </c>
      <c r="D4" s="57">
        <v>23.977</v>
      </c>
      <c r="E4" s="57">
        <v>359.661</v>
      </c>
      <c r="F4" s="57">
        <v>22.396999999999998</v>
      </c>
      <c r="G4" s="57">
        <v>335.95100000000002</v>
      </c>
      <c r="H4" s="57">
        <v>80.763000000000005</v>
      </c>
      <c r="I4" s="57">
        <v>1615.2529999999999</v>
      </c>
      <c r="J4" s="57">
        <v>5.43</v>
      </c>
      <c r="K4" s="57">
        <v>81.445999999999998</v>
      </c>
      <c r="L4" s="57"/>
      <c r="M4" s="57"/>
      <c r="N4" s="57">
        <v>10.093</v>
      </c>
      <c r="O4" s="57">
        <v>181.673</v>
      </c>
      <c r="P4" s="57">
        <v>1.397</v>
      </c>
      <c r="Q4" s="57">
        <v>20.952000000000002</v>
      </c>
      <c r="R4" s="57">
        <v>11.379</v>
      </c>
      <c r="S4" s="57">
        <v>227.57300000000001</v>
      </c>
      <c r="T4" s="57">
        <v>4.101</v>
      </c>
      <c r="U4" s="57">
        <v>61.509</v>
      </c>
      <c r="V4" s="57">
        <v>74.254000000000005</v>
      </c>
      <c r="W4" s="57">
        <v>1113.8130000000001</v>
      </c>
      <c r="X4" s="66">
        <v>86.67</v>
      </c>
      <c r="Y4" s="66">
        <v>1560.0619999999999</v>
      </c>
      <c r="AB4" s="57">
        <v>2.903</v>
      </c>
      <c r="AC4" s="57">
        <v>29.027000000000001</v>
      </c>
      <c r="AD4" s="66">
        <v>9.48</v>
      </c>
      <c r="AE4" s="66">
        <v>189.59700000000001</v>
      </c>
      <c r="AF4" s="57">
        <v>3.323</v>
      </c>
      <c r="AG4" s="57">
        <v>66.457999999999998</v>
      </c>
      <c r="AH4" s="57"/>
      <c r="AI4" s="57"/>
      <c r="AJ4" s="57">
        <v>0.27900000000000003</v>
      </c>
      <c r="AK4" s="57">
        <v>5.5750000000000002</v>
      </c>
      <c r="AL4" s="57">
        <v>5.492</v>
      </c>
      <c r="AM4" s="57">
        <v>109.84</v>
      </c>
      <c r="AN4" s="57">
        <v>260.90499999999997</v>
      </c>
      <c r="AO4" s="57">
        <v>5218.1040000000003</v>
      </c>
      <c r="AP4" s="57">
        <v>11.346</v>
      </c>
      <c r="AQ4" s="57">
        <v>170.19499999999999</v>
      </c>
      <c r="AR4" s="57">
        <v>52.375999999999998</v>
      </c>
      <c r="AS4" s="57">
        <v>523.75599999999997</v>
      </c>
      <c r="AT4" s="58">
        <f t="shared" ref="AT4:AT36" si="0">B4+D4+F4+H4+J4+L4+N4+P4+R4+T4+V4+X4+Z4+AB4+AD4+AF4+AH4+AJ4+AL4+AN4+AP4+AR4</f>
        <v>686.08199999999999</v>
      </c>
      <c r="AU4" s="58">
        <f t="shared" ref="AU4:AU36" si="1">C4+E4+G4+I4+K4+M4+O4+Q4+S4+U4+W4+Y4+AA4+AC4+AE4+AG4+AI4+AK4+AM4+AO4+AQ4+AS4</f>
        <v>12104.652</v>
      </c>
    </row>
    <row r="5" spans="1:47" ht="17.25" customHeight="1" x14ac:dyDescent="0.2">
      <c r="A5" s="30" t="s">
        <v>119</v>
      </c>
      <c r="B5" s="57"/>
      <c r="C5" s="57"/>
      <c r="D5" s="57"/>
      <c r="E5" s="57"/>
      <c r="F5" s="57"/>
      <c r="G5" s="57"/>
      <c r="H5" s="57"/>
      <c r="I5" s="57"/>
      <c r="J5" s="57">
        <v>0.45</v>
      </c>
      <c r="K5" s="57">
        <v>11.55</v>
      </c>
      <c r="L5" s="57"/>
      <c r="M5" s="57"/>
      <c r="N5" s="57"/>
      <c r="O5" s="57"/>
      <c r="P5" s="57">
        <v>0.32</v>
      </c>
      <c r="Q5" s="57">
        <v>7.36</v>
      </c>
      <c r="R5" s="57"/>
      <c r="S5" s="57"/>
      <c r="T5" s="57"/>
      <c r="U5" s="57"/>
      <c r="V5" s="57"/>
      <c r="W5" s="57"/>
      <c r="X5" s="66"/>
      <c r="Y5" s="66"/>
      <c r="Z5" s="57"/>
      <c r="AA5" s="57"/>
      <c r="AB5" s="57"/>
      <c r="AC5" s="57"/>
      <c r="AD5" s="66"/>
      <c r="AE5" s="66"/>
      <c r="AF5" s="57"/>
      <c r="AG5" s="57"/>
      <c r="AH5" s="57"/>
      <c r="AI5" s="57"/>
      <c r="AJ5" s="57"/>
      <c r="AK5" s="57"/>
      <c r="AL5" s="57"/>
      <c r="AM5" s="57"/>
      <c r="AN5" s="57">
        <v>0.55000000000000004</v>
      </c>
      <c r="AO5" s="57">
        <v>14.85</v>
      </c>
      <c r="AP5" s="57"/>
      <c r="AQ5" s="57"/>
      <c r="AR5" s="57">
        <v>0.2</v>
      </c>
      <c r="AS5" s="57">
        <v>3.8</v>
      </c>
      <c r="AT5" s="58">
        <f t="shared" si="0"/>
        <v>1.52</v>
      </c>
      <c r="AU5" s="58">
        <f t="shared" si="1"/>
        <v>37.559999999999995</v>
      </c>
    </row>
    <row r="6" spans="1:47" ht="17.25" customHeight="1" x14ac:dyDescent="0.2">
      <c r="A6" s="27" t="s">
        <v>14</v>
      </c>
      <c r="B6" s="57"/>
      <c r="C6" s="57"/>
      <c r="D6" s="57">
        <v>5.22</v>
      </c>
      <c r="E6" s="57">
        <v>49.511000000000003</v>
      </c>
      <c r="F6" s="57"/>
      <c r="G6" s="57"/>
      <c r="H6" s="57">
        <v>16.809000000000001</v>
      </c>
      <c r="I6" s="57">
        <v>267.935</v>
      </c>
      <c r="J6" s="57">
        <v>31.568000000000001</v>
      </c>
      <c r="K6" s="57">
        <v>652.66800000000001</v>
      </c>
      <c r="L6" s="57"/>
      <c r="M6" s="57"/>
      <c r="N6" s="57">
        <v>4.2160000000000002</v>
      </c>
      <c r="O6" s="57">
        <v>66.864999999999995</v>
      </c>
      <c r="P6" s="57">
        <v>21.709</v>
      </c>
      <c r="Q6" s="57">
        <v>449.24599999999998</v>
      </c>
      <c r="R6" s="57">
        <v>6.524</v>
      </c>
      <c r="S6" s="57">
        <v>64.358999999999995</v>
      </c>
      <c r="T6" s="57"/>
      <c r="U6" s="57"/>
      <c r="V6" s="57">
        <v>11.52</v>
      </c>
      <c r="W6" s="57">
        <v>169.113</v>
      </c>
      <c r="X6" s="66">
        <v>8.5250000000000004</v>
      </c>
      <c r="Y6" s="66">
        <v>30.902999999999999</v>
      </c>
      <c r="Z6" s="57"/>
      <c r="AA6" s="57"/>
      <c r="AB6" s="57">
        <v>21.574000000000002</v>
      </c>
      <c r="AC6" s="57">
        <v>16.288</v>
      </c>
      <c r="AD6" s="66">
        <v>99.772000000000006</v>
      </c>
      <c r="AE6" s="66">
        <v>975.27099999999996</v>
      </c>
      <c r="AF6" s="57">
        <v>19.920999999999999</v>
      </c>
      <c r="AG6" s="57">
        <v>191.142</v>
      </c>
      <c r="AH6" s="57"/>
      <c r="AI6" s="57"/>
      <c r="AJ6" s="57">
        <v>9.6180000000000003</v>
      </c>
      <c r="AK6" s="57">
        <v>40.972000000000001</v>
      </c>
      <c r="AL6" s="57">
        <v>4.4749999999999996</v>
      </c>
      <c r="AM6" s="57">
        <v>38.305999999999997</v>
      </c>
      <c r="AN6" s="57">
        <v>17.292999999999999</v>
      </c>
      <c r="AO6" s="57">
        <v>402.49400000000003</v>
      </c>
      <c r="AP6" s="57"/>
      <c r="AQ6" s="57"/>
      <c r="AR6" s="57"/>
      <c r="AS6" s="57"/>
      <c r="AT6" s="58">
        <f t="shared" si="0"/>
        <v>278.74400000000003</v>
      </c>
      <c r="AU6" s="58">
        <f t="shared" si="1"/>
        <v>3415.0729999999999</v>
      </c>
    </row>
    <row r="7" spans="1:47" ht="17.25" customHeight="1" x14ac:dyDescent="0.2">
      <c r="A7" s="27" t="s">
        <v>15</v>
      </c>
      <c r="B7" s="57"/>
      <c r="C7" s="57"/>
      <c r="D7" s="57">
        <v>10.087999999999999</v>
      </c>
      <c r="E7" s="57">
        <v>78.138999999999996</v>
      </c>
      <c r="F7" s="57">
        <v>32.113999999999997</v>
      </c>
      <c r="G7" s="57">
        <v>725.13199999999995</v>
      </c>
      <c r="H7" s="57">
        <v>56.218000000000004</v>
      </c>
      <c r="I7" s="57">
        <v>1291.54</v>
      </c>
      <c r="J7" s="57">
        <v>39.728000000000002</v>
      </c>
      <c r="K7" s="57">
        <v>778.54700000000003</v>
      </c>
      <c r="L7" s="57"/>
      <c r="M7" s="57"/>
      <c r="N7" s="57">
        <v>4.9029999999999996</v>
      </c>
      <c r="O7" s="57">
        <v>60.956000000000003</v>
      </c>
      <c r="P7" s="57">
        <v>63.112000000000002</v>
      </c>
      <c r="Q7" s="57">
        <v>1193.7249999999999</v>
      </c>
      <c r="R7" s="57">
        <v>2.3340000000000001</v>
      </c>
      <c r="S7" s="57">
        <v>27.135000000000002</v>
      </c>
      <c r="T7" s="57">
        <v>1.3660000000000001</v>
      </c>
      <c r="U7" s="57">
        <v>18.213999999999999</v>
      </c>
      <c r="V7" s="57">
        <v>59.234999999999999</v>
      </c>
      <c r="W7" s="57">
        <v>854.21900000000005</v>
      </c>
      <c r="X7" s="66">
        <v>53.018000000000001</v>
      </c>
      <c r="Y7" s="66">
        <v>1107.8430000000001</v>
      </c>
      <c r="Z7" s="57">
        <v>7.0640000000000001</v>
      </c>
      <c r="AA7" s="57">
        <v>114.42100000000001</v>
      </c>
      <c r="AB7" s="57">
        <v>10.018000000000001</v>
      </c>
      <c r="AC7" s="57">
        <v>88.712000000000003</v>
      </c>
      <c r="AD7" s="66">
        <v>322.46300000000002</v>
      </c>
      <c r="AE7" s="66">
        <v>6640.5450000000001</v>
      </c>
      <c r="AF7" s="57">
        <v>16.422000000000001</v>
      </c>
      <c r="AG7" s="57">
        <v>271.83300000000003</v>
      </c>
      <c r="AH7" s="57">
        <v>0.59099999999999997</v>
      </c>
      <c r="AI7" s="57">
        <v>8.6280000000000001</v>
      </c>
      <c r="AJ7" s="57">
        <v>0.46899999999999997</v>
      </c>
      <c r="AK7" s="57">
        <v>9.8339999999999996</v>
      </c>
      <c r="AL7" s="57"/>
      <c r="AM7" s="57"/>
      <c r="AN7" s="57">
        <v>47.796999999999997</v>
      </c>
      <c r="AO7" s="57">
        <v>1126.25</v>
      </c>
      <c r="AP7" s="57">
        <v>1.5640000000000001</v>
      </c>
      <c r="AQ7" s="57">
        <v>36.892000000000003</v>
      </c>
      <c r="AR7" s="57">
        <f>91.983+40.327+0.98</f>
        <v>133.29</v>
      </c>
      <c r="AS7" s="57">
        <f>1352.829+493.154+47.127</f>
        <v>1893.11</v>
      </c>
      <c r="AT7" s="58">
        <f t="shared" si="0"/>
        <v>861.7940000000001</v>
      </c>
      <c r="AU7" s="58">
        <f t="shared" si="1"/>
        <v>16325.675000000003</v>
      </c>
    </row>
    <row r="8" spans="1:47" ht="17.25" customHeight="1" x14ac:dyDescent="0.2">
      <c r="A8" s="27" t="s">
        <v>57</v>
      </c>
      <c r="B8" s="57">
        <v>5.16</v>
      </c>
      <c r="C8" s="57">
        <v>43.92</v>
      </c>
      <c r="D8" s="57">
        <v>7.26</v>
      </c>
      <c r="E8" s="57">
        <v>94.93</v>
      </c>
      <c r="F8" s="57">
        <v>11.63</v>
      </c>
      <c r="G8" s="57">
        <v>209.17</v>
      </c>
      <c r="H8" s="57">
        <v>31.2</v>
      </c>
      <c r="I8" s="57">
        <v>545.69000000000005</v>
      </c>
      <c r="J8" s="57">
        <v>16.55</v>
      </c>
      <c r="K8" s="57">
        <v>295.52</v>
      </c>
      <c r="L8" s="57"/>
      <c r="M8" s="57"/>
      <c r="N8" s="57">
        <v>1.1599999999999999</v>
      </c>
      <c r="O8" s="57">
        <v>16.010000000000002</v>
      </c>
      <c r="P8" s="57">
        <v>19.57</v>
      </c>
      <c r="Q8" s="57">
        <v>341.99</v>
      </c>
      <c r="R8" s="57"/>
      <c r="S8" s="57"/>
      <c r="T8" s="57">
        <v>1.1499999999999999</v>
      </c>
      <c r="U8" s="57">
        <v>9.98</v>
      </c>
      <c r="V8" s="57">
        <v>26.47</v>
      </c>
      <c r="W8" s="57">
        <v>269.18</v>
      </c>
      <c r="X8" s="66">
        <v>17.95</v>
      </c>
      <c r="Y8" s="66">
        <v>269.27999999999997</v>
      </c>
      <c r="Z8" s="57">
        <v>2.85</v>
      </c>
      <c r="AA8" s="57">
        <v>34.56</v>
      </c>
      <c r="AB8" s="57"/>
      <c r="AC8" s="57"/>
      <c r="AD8" s="66">
        <v>43.35</v>
      </c>
      <c r="AE8" s="66">
        <v>648.62</v>
      </c>
      <c r="AF8" s="57">
        <v>7.29</v>
      </c>
      <c r="AG8" s="57">
        <v>134.81</v>
      </c>
      <c r="AH8" s="57"/>
      <c r="AI8" s="57"/>
      <c r="AJ8" s="57">
        <v>3.71</v>
      </c>
      <c r="AK8" s="57">
        <v>37.799999999999997</v>
      </c>
      <c r="AL8" s="57"/>
      <c r="AM8" s="57"/>
      <c r="AN8" s="57">
        <v>47.97</v>
      </c>
      <c r="AO8" s="57">
        <v>762.22</v>
      </c>
      <c r="AP8" s="57">
        <v>2.29</v>
      </c>
      <c r="AQ8" s="57">
        <v>18.53</v>
      </c>
      <c r="AR8" s="57">
        <v>135.1</v>
      </c>
      <c r="AS8" s="57">
        <v>1261.6400000000001</v>
      </c>
      <c r="AT8" s="58">
        <f t="shared" si="0"/>
        <v>380.65999999999997</v>
      </c>
      <c r="AU8" s="58">
        <f t="shared" si="1"/>
        <v>4993.8500000000004</v>
      </c>
    </row>
    <row r="9" spans="1:47" ht="17.25" customHeight="1" x14ac:dyDescent="0.2">
      <c r="A9" s="27" t="s">
        <v>16</v>
      </c>
      <c r="B9" s="57"/>
      <c r="C9" s="57"/>
      <c r="D9" s="57"/>
      <c r="E9" s="57"/>
      <c r="F9" s="57"/>
      <c r="G9" s="57"/>
      <c r="H9" s="57">
        <v>0.5</v>
      </c>
      <c r="I9" s="57">
        <v>2.2000000000000002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66"/>
      <c r="Y9" s="66"/>
      <c r="Z9" s="57"/>
      <c r="AA9" s="57"/>
      <c r="AB9" s="57"/>
      <c r="AC9" s="57"/>
      <c r="AD9" s="66"/>
      <c r="AE9" s="66"/>
      <c r="AF9" s="57"/>
      <c r="AG9" s="57"/>
      <c r="AH9" s="57"/>
      <c r="AI9" s="57"/>
      <c r="AJ9" s="57"/>
      <c r="AK9" s="57"/>
      <c r="AL9" s="57"/>
      <c r="AM9" s="57"/>
      <c r="AN9" s="57">
        <v>0.4</v>
      </c>
      <c r="AO9" s="57">
        <v>1.8</v>
      </c>
      <c r="AP9" s="57"/>
      <c r="AQ9" s="57"/>
      <c r="AR9" s="57">
        <v>0.2</v>
      </c>
      <c r="AS9" s="57">
        <v>1.5</v>
      </c>
      <c r="AT9" s="58">
        <f t="shared" si="0"/>
        <v>1.1000000000000001</v>
      </c>
      <c r="AU9" s="58">
        <f t="shared" si="1"/>
        <v>5.5</v>
      </c>
    </row>
    <row r="10" spans="1:47" ht="17.25" customHeight="1" x14ac:dyDescent="0.2">
      <c r="A10" s="27" t="s">
        <v>17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66"/>
      <c r="Y10" s="66"/>
      <c r="Z10" s="57"/>
      <c r="AA10" s="57"/>
      <c r="AB10" s="57"/>
      <c r="AC10" s="57"/>
      <c r="AD10" s="66"/>
      <c r="AE10" s="66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8">
        <f t="shared" si="0"/>
        <v>0</v>
      </c>
      <c r="AU10" s="58">
        <f t="shared" si="1"/>
        <v>0</v>
      </c>
    </row>
    <row r="11" spans="1:47" ht="17.25" customHeight="1" x14ac:dyDescent="0.2">
      <c r="A11" s="27" t="s">
        <v>18</v>
      </c>
      <c r="B11" s="57"/>
      <c r="C11" s="57"/>
      <c r="D11" s="57">
        <v>0.78</v>
      </c>
      <c r="E11" s="57">
        <v>10.311</v>
      </c>
      <c r="F11" s="57">
        <v>1.7170000000000001</v>
      </c>
      <c r="G11" s="57">
        <v>21.036000000000001</v>
      </c>
      <c r="H11" s="57">
        <v>1.282</v>
      </c>
      <c r="I11" s="57">
        <v>22.053000000000001</v>
      </c>
      <c r="J11" s="57"/>
      <c r="K11" s="57"/>
      <c r="L11" s="57"/>
      <c r="M11" s="57"/>
      <c r="N11" s="57">
        <v>1.095</v>
      </c>
      <c r="O11" s="57">
        <v>27.974</v>
      </c>
      <c r="P11" s="57">
        <v>4.8479999999999999</v>
      </c>
      <c r="Q11" s="57">
        <v>89.058999999999997</v>
      </c>
      <c r="R11" s="57">
        <v>0.56399999999999995</v>
      </c>
      <c r="S11" s="57">
        <v>8.1199999999999992</v>
      </c>
      <c r="T11" s="57"/>
      <c r="U11" s="57"/>
      <c r="V11" s="57">
        <v>1.536</v>
      </c>
      <c r="W11" s="57">
        <v>19.631</v>
      </c>
      <c r="X11" s="66">
        <v>0.81399999999999995</v>
      </c>
      <c r="Y11" s="66">
        <v>15.504</v>
      </c>
      <c r="Z11" s="57"/>
      <c r="AA11" s="57"/>
      <c r="AB11" s="57">
        <v>0.71599999999999997</v>
      </c>
      <c r="AC11" s="57">
        <v>8.8740000000000006</v>
      </c>
      <c r="AD11" s="66">
        <v>0.68899999999999995</v>
      </c>
      <c r="AE11" s="66">
        <v>14.651999999999999</v>
      </c>
      <c r="AF11" s="57">
        <v>3.3050000000000002</v>
      </c>
      <c r="AG11" s="57">
        <v>50.155000000000001</v>
      </c>
      <c r="AH11" s="57"/>
      <c r="AI11" s="57"/>
      <c r="AJ11" s="57"/>
      <c r="AK11" s="57"/>
      <c r="AL11" s="57"/>
      <c r="AM11" s="57"/>
      <c r="AN11" s="57">
        <v>1.0409999999999999</v>
      </c>
      <c r="AO11" s="57">
        <v>19.164000000000001</v>
      </c>
      <c r="AP11" s="57"/>
      <c r="AQ11" s="57"/>
      <c r="AR11" s="57">
        <v>9.5350000000000001</v>
      </c>
      <c r="AS11" s="57">
        <v>132.78700000000001</v>
      </c>
      <c r="AT11" s="58">
        <f t="shared" si="0"/>
        <v>27.922000000000001</v>
      </c>
      <c r="AU11" s="58">
        <f t="shared" si="1"/>
        <v>439.31999999999994</v>
      </c>
    </row>
    <row r="12" spans="1:47" ht="17.25" customHeight="1" x14ac:dyDescent="0.2">
      <c r="A12" s="27" t="s">
        <v>19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66"/>
      <c r="Y12" s="66"/>
      <c r="Z12" s="57"/>
      <c r="AA12" s="57"/>
      <c r="AB12" s="57"/>
      <c r="AC12" s="57"/>
      <c r="AD12" s="66"/>
      <c r="AE12" s="66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>
        <v>6.6449999999999996</v>
      </c>
      <c r="AS12" s="57">
        <v>80.510999999999996</v>
      </c>
      <c r="AT12" s="58">
        <f t="shared" si="0"/>
        <v>6.6449999999999996</v>
      </c>
      <c r="AU12" s="58">
        <f t="shared" si="1"/>
        <v>80.510999999999996</v>
      </c>
    </row>
    <row r="13" spans="1:47" ht="17.25" customHeight="1" x14ac:dyDescent="0.2">
      <c r="A13" s="27" t="s">
        <v>20</v>
      </c>
      <c r="B13" s="57"/>
      <c r="C13" s="57"/>
      <c r="D13" s="57"/>
      <c r="E13" s="57"/>
      <c r="F13" s="57"/>
      <c r="G13" s="57"/>
      <c r="H13" s="57">
        <v>76.75</v>
      </c>
      <c r="I13" s="57">
        <v>1341.05</v>
      </c>
      <c r="J13" s="57">
        <v>30.92</v>
      </c>
      <c r="K13" s="57">
        <v>663.53</v>
      </c>
      <c r="L13" s="57"/>
      <c r="M13" s="57"/>
      <c r="N13" s="57"/>
      <c r="O13" s="57"/>
      <c r="P13" s="57">
        <v>28.62</v>
      </c>
      <c r="Q13" s="57">
        <v>532.28</v>
      </c>
      <c r="R13" s="57"/>
      <c r="S13" s="57"/>
      <c r="T13" s="57"/>
      <c r="U13" s="57"/>
      <c r="V13" s="57">
        <v>65.66</v>
      </c>
      <c r="W13" s="57">
        <v>723.33</v>
      </c>
      <c r="X13" s="66">
        <v>28.85</v>
      </c>
      <c r="Y13" s="66">
        <v>704.38</v>
      </c>
      <c r="Z13" s="57"/>
      <c r="AA13" s="57"/>
      <c r="AB13" s="57"/>
      <c r="AC13" s="57"/>
      <c r="AD13" s="66">
        <v>81.27</v>
      </c>
      <c r="AE13" s="66">
        <v>2499.73</v>
      </c>
      <c r="AF13" s="57"/>
      <c r="AG13" s="57"/>
      <c r="AH13" s="57"/>
      <c r="AI13" s="57"/>
      <c r="AJ13" s="57"/>
      <c r="AK13" s="57"/>
      <c r="AL13" s="57"/>
      <c r="AM13" s="57"/>
      <c r="AN13" s="57">
        <v>44</v>
      </c>
      <c r="AO13" s="57">
        <v>1156.72</v>
      </c>
      <c r="AP13" s="57"/>
      <c r="AQ13" s="57"/>
      <c r="AR13" s="57">
        <v>181.57</v>
      </c>
      <c r="AS13" s="57">
        <v>2899.67</v>
      </c>
      <c r="AT13" s="58">
        <f t="shared" si="0"/>
        <v>537.64</v>
      </c>
      <c r="AU13" s="58">
        <f t="shared" si="1"/>
        <v>10520.689999999999</v>
      </c>
    </row>
    <row r="14" spans="1:47" ht="17.25" customHeight="1" x14ac:dyDescent="0.2">
      <c r="A14" s="27" t="s">
        <v>21</v>
      </c>
      <c r="B14" s="57"/>
      <c r="C14" s="57"/>
      <c r="D14" s="57"/>
      <c r="E14" s="57"/>
      <c r="F14" s="57"/>
      <c r="G14" s="57"/>
      <c r="H14" s="57">
        <v>18.29</v>
      </c>
      <c r="I14" s="57">
        <v>302.89</v>
      </c>
      <c r="J14" s="57">
        <v>14.81</v>
      </c>
      <c r="K14" s="57">
        <v>270.37</v>
      </c>
      <c r="L14" s="57"/>
      <c r="M14" s="57"/>
      <c r="N14" s="57">
        <v>18.48</v>
      </c>
      <c r="O14" s="57">
        <v>286.12</v>
      </c>
      <c r="P14" s="57">
        <v>30.44</v>
      </c>
      <c r="Q14" s="57">
        <v>492.26</v>
      </c>
      <c r="R14" s="57"/>
      <c r="S14" s="57"/>
      <c r="T14" s="57"/>
      <c r="U14" s="57"/>
      <c r="V14" s="57">
        <v>18.03</v>
      </c>
      <c r="W14" s="57">
        <v>154.09</v>
      </c>
      <c r="X14" s="66">
        <v>27.8</v>
      </c>
      <c r="Y14" s="66">
        <v>604.47</v>
      </c>
      <c r="Z14" s="57"/>
      <c r="AA14" s="57"/>
      <c r="AB14" s="57">
        <v>15.08</v>
      </c>
      <c r="AC14" s="57">
        <v>107.54</v>
      </c>
      <c r="AD14" s="66">
        <v>29.47</v>
      </c>
      <c r="AE14" s="66">
        <v>676.02</v>
      </c>
      <c r="AF14" s="57">
        <v>28.39</v>
      </c>
      <c r="AG14" s="57">
        <v>396.8</v>
      </c>
      <c r="AH14" s="57"/>
      <c r="AI14" s="57"/>
      <c r="AJ14" s="57"/>
      <c r="AK14" s="57"/>
      <c r="AL14" s="57"/>
      <c r="AM14" s="57"/>
      <c r="AN14" s="57">
        <v>27.61</v>
      </c>
      <c r="AO14" s="57">
        <v>400.81</v>
      </c>
      <c r="AP14" s="57"/>
      <c r="AQ14" s="57"/>
      <c r="AR14" s="57">
        <f>15.92+66.4+0.53+30.97+18.11</f>
        <v>131.93</v>
      </c>
      <c r="AS14" s="57">
        <f>146.65+739.96+6.44+270.26+156.63</f>
        <v>1319.94</v>
      </c>
      <c r="AT14" s="58">
        <f t="shared" si="0"/>
        <v>360.33000000000004</v>
      </c>
      <c r="AU14" s="58">
        <f t="shared" si="1"/>
        <v>5011.3099999999995</v>
      </c>
    </row>
    <row r="15" spans="1:47" ht="17.25" customHeight="1" x14ac:dyDescent="0.2">
      <c r="A15" s="27" t="s">
        <v>22</v>
      </c>
      <c r="B15" s="57">
        <v>3.4359999999999999</v>
      </c>
      <c r="C15" s="57">
        <v>40.878999999999998</v>
      </c>
      <c r="D15" s="57"/>
      <c r="E15" s="57"/>
      <c r="F15" s="57"/>
      <c r="G15" s="57"/>
      <c r="H15" s="57">
        <v>1.0880000000000001</v>
      </c>
      <c r="I15" s="57">
        <v>23.518000000000001</v>
      </c>
      <c r="J15" s="57">
        <v>4.3869999999999996</v>
      </c>
      <c r="K15" s="57">
        <v>149.67099999999999</v>
      </c>
      <c r="L15" s="57">
        <v>2.0720000000000001</v>
      </c>
      <c r="M15" s="57">
        <v>34.131999999999998</v>
      </c>
      <c r="N15" s="57"/>
      <c r="O15" s="57"/>
      <c r="P15" s="57">
        <v>4.351</v>
      </c>
      <c r="Q15" s="57">
        <v>101.71</v>
      </c>
      <c r="R15" s="57"/>
      <c r="S15" s="57"/>
      <c r="T15" s="57"/>
      <c r="U15" s="57"/>
      <c r="V15" s="57">
        <v>2.5219999999999998</v>
      </c>
      <c r="W15" s="57">
        <v>30.344000000000001</v>
      </c>
      <c r="X15" s="66">
        <v>2.2679999999999998</v>
      </c>
      <c r="Y15" s="66">
        <v>39.362000000000002</v>
      </c>
      <c r="Z15" s="57"/>
      <c r="AA15" s="57"/>
      <c r="AB15" s="57">
        <v>23.667999999999999</v>
      </c>
      <c r="AC15" s="57">
        <v>280.23099999999999</v>
      </c>
      <c r="AD15" s="66">
        <v>14.43</v>
      </c>
      <c r="AE15" s="66">
        <v>180.566</v>
      </c>
      <c r="AF15" s="57"/>
      <c r="AG15" s="57"/>
      <c r="AH15" s="57"/>
      <c r="AI15" s="57"/>
      <c r="AJ15" s="57"/>
      <c r="AK15" s="57"/>
      <c r="AL15" s="57"/>
      <c r="AM15" s="57"/>
      <c r="AN15" s="57">
        <v>9.93</v>
      </c>
      <c r="AO15" s="57">
        <v>413.709</v>
      </c>
      <c r="AP15" s="57"/>
      <c r="AQ15" s="57"/>
      <c r="AR15" s="57">
        <f>2.261+2.479+5.539+1.03</f>
        <v>11.308999999999999</v>
      </c>
      <c r="AS15" s="57">
        <f>46.919+56.536+110.995+12.56</f>
        <v>227.01</v>
      </c>
      <c r="AT15" s="58">
        <f t="shared" si="0"/>
        <v>79.460999999999999</v>
      </c>
      <c r="AU15" s="58">
        <f t="shared" si="1"/>
        <v>1521.1320000000001</v>
      </c>
    </row>
    <row r="16" spans="1:47" ht="17.25" customHeight="1" x14ac:dyDescent="0.2">
      <c r="A16" s="27" t="s">
        <v>232</v>
      </c>
      <c r="B16" s="57">
        <v>1.7830000000000001</v>
      </c>
      <c r="C16" s="57">
        <v>32.681999999999995</v>
      </c>
      <c r="D16" s="57">
        <v>0.627</v>
      </c>
      <c r="E16" s="57">
        <v>10.14</v>
      </c>
      <c r="F16" s="57">
        <v>1.597</v>
      </c>
      <c r="G16" s="57">
        <v>36.167999999999999</v>
      </c>
      <c r="H16" s="57">
        <v>2.0230000000000001</v>
      </c>
      <c r="I16" s="57">
        <v>45.237000000000002</v>
      </c>
      <c r="J16" s="57">
        <v>2.488</v>
      </c>
      <c r="K16" s="57">
        <v>73.225999999999999</v>
      </c>
      <c r="L16" s="57">
        <v>1.0489999999999999</v>
      </c>
      <c r="M16" s="57">
        <v>23.158999999999999</v>
      </c>
      <c r="N16" s="57">
        <v>1.35</v>
      </c>
      <c r="O16" s="57">
        <v>33.332999999999998</v>
      </c>
      <c r="P16" s="57">
        <v>3.254</v>
      </c>
      <c r="Q16" s="57">
        <v>85.262</v>
      </c>
      <c r="R16" s="57">
        <v>1.6419999999999999</v>
      </c>
      <c r="S16" s="57">
        <v>64.507999999999996</v>
      </c>
      <c r="T16" s="57">
        <v>0.13</v>
      </c>
      <c r="U16" s="57">
        <v>2.9020000000000001</v>
      </c>
      <c r="V16" s="57">
        <v>2.5169999999999999</v>
      </c>
      <c r="W16" s="57">
        <v>42.99</v>
      </c>
      <c r="X16" s="66">
        <v>2.8450000000000002</v>
      </c>
      <c r="Y16" s="66">
        <v>65.266000000000005</v>
      </c>
      <c r="Z16" s="57"/>
      <c r="AA16" s="57"/>
      <c r="AB16" s="57">
        <v>2.7930000000000001</v>
      </c>
      <c r="AC16" s="57">
        <v>58.081000000000003</v>
      </c>
      <c r="AD16" s="66">
        <v>6.9089999999999998</v>
      </c>
      <c r="AE16" s="66">
        <v>127.244</v>
      </c>
      <c r="AF16" s="57">
        <v>3.63</v>
      </c>
      <c r="AG16" s="57">
        <v>81.444999999999993</v>
      </c>
      <c r="AH16" s="57">
        <v>0.629</v>
      </c>
      <c r="AI16" s="57">
        <v>15.702</v>
      </c>
      <c r="AJ16" s="57"/>
      <c r="AK16" s="57"/>
      <c r="AL16" s="57"/>
      <c r="AM16" s="57"/>
      <c r="AN16" s="57">
        <v>3.5760000000000001</v>
      </c>
      <c r="AO16" s="57">
        <v>88.084999999999994</v>
      </c>
      <c r="AP16" s="57">
        <v>0.29699999999999999</v>
      </c>
      <c r="AQ16" s="57">
        <v>6.2050000000000001</v>
      </c>
      <c r="AR16" s="57">
        <v>23.918000000000003</v>
      </c>
      <c r="AS16" s="57">
        <v>503.83699999999999</v>
      </c>
      <c r="AT16" s="58">
        <f t="shared" si="0"/>
        <v>63.056999999999988</v>
      </c>
      <c r="AU16" s="58">
        <f t="shared" si="1"/>
        <v>1395.4720000000002</v>
      </c>
    </row>
    <row r="17" spans="1:47" ht="17.25" customHeight="1" x14ac:dyDescent="0.2">
      <c r="A17" s="27" t="s">
        <v>24</v>
      </c>
      <c r="B17" s="57">
        <v>15.253</v>
      </c>
      <c r="C17" s="57">
        <v>222.203</v>
      </c>
      <c r="D17" s="57">
        <v>0.75</v>
      </c>
      <c r="E17" s="57">
        <v>6.5229999999999997</v>
      </c>
      <c r="F17" s="57">
        <v>0.36</v>
      </c>
      <c r="G17" s="57">
        <v>5.6219999999999999</v>
      </c>
      <c r="H17" s="57">
        <v>24.213999999999999</v>
      </c>
      <c r="I17" s="57">
        <v>297.142</v>
      </c>
      <c r="J17" s="57">
        <v>31.135000000000002</v>
      </c>
      <c r="K17" s="57">
        <v>480.22500000000002</v>
      </c>
      <c r="L17" s="57">
        <v>19.62</v>
      </c>
      <c r="M17" s="57">
        <v>20.23</v>
      </c>
      <c r="N17" s="57">
        <v>0.64</v>
      </c>
      <c r="O17" s="57">
        <v>7.23</v>
      </c>
      <c r="P17" s="57">
        <v>24.722999999999999</v>
      </c>
      <c r="Q17" s="57">
        <v>381.214</v>
      </c>
      <c r="R17" s="56">
        <v>0.3</v>
      </c>
      <c r="S17" s="56">
        <v>31</v>
      </c>
      <c r="T17" s="57"/>
      <c r="U17" s="57"/>
      <c r="V17" s="57">
        <v>32.524000000000001</v>
      </c>
      <c r="W17" s="57">
        <v>447.40300000000002</v>
      </c>
      <c r="X17" s="66">
        <v>17.213999999999999</v>
      </c>
      <c r="Y17" s="66">
        <v>322.154</v>
      </c>
      <c r="Z17" s="57"/>
      <c r="AA17" s="57"/>
      <c r="AB17" s="57">
        <v>24.132000000000001</v>
      </c>
      <c r="AC17" s="57">
        <v>358.22</v>
      </c>
      <c r="AD17" s="66">
        <v>47.204999999999998</v>
      </c>
      <c r="AE17" s="66">
        <v>659.61199999999997</v>
      </c>
      <c r="AF17" s="57">
        <v>0.40200000000000002</v>
      </c>
      <c r="AG17" s="57">
        <v>7.4349999999999996</v>
      </c>
      <c r="AH17" s="57">
        <v>1.3460000000000001</v>
      </c>
      <c r="AI17" s="57">
        <v>25.533000000000001</v>
      </c>
      <c r="AJ17" s="57"/>
      <c r="AK17" s="57"/>
      <c r="AL17" s="57"/>
      <c r="AM17" s="57"/>
      <c r="AN17" s="57">
        <v>26.36</v>
      </c>
      <c r="AO17" s="57">
        <v>250.21299999999999</v>
      </c>
      <c r="AP17" s="57"/>
      <c r="AQ17" s="57"/>
      <c r="AR17" s="57">
        <f>21.132+34.152</f>
        <v>55.284000000000006</v>
      </c>
      <c r="AS17" s="57">
        <f>287.106+516.313</f>
        <v>803.41899999999998</v>
      </c>
      <c r="AT17" s="58">
        <f t="shared" si="0"/>
        <v>321.46199999999999</v>
      </c>
      <c r="AU17" s="58">
        <f t="shared" si="1"/>
        <v>4325.3780000000006</v>
      </c>
    </row>
    <row r="18" spans="1:47" ht="17.25" customHeight="1" x14ac:dyDescent="0.2">
      <c r="A18" s="27" t="s">
        <v>25</v>
      </c>
      <c r="B18" s="57">
        <v>12.6</v>
      </c>
      <c r="C18" s="57">
        <v>145</v>
      </c>
      <c r="D18" s="57">
        <v>3.1</v>
      </c>
      <c r="E18" s="57">
        <v>28.6</v>
      </c>
      <c r="F18" s="57">
        <v>0.4</v>
      </c>
      <c r="G18" s="57">
        <v>4.3</v>
      </c>
      <c r="H18" s="57">
        <v>16.100000000000001</v>
      </c>
      <c r="I18" s="57">
        <v>421.4</v>
      </c>
      <c r="J18" s="57">
        <v>9.6</v>
      </c>
      <c r="K18" s="57">
        <v>209.9</v>
      </c>
      <c r="L18" s="57">
        <v>2.9</v>
      </c>
      <c r="M18" s="57">
        <v>49.7</v>
      </c>
      <c r="N18" s="57">
        <v>4.8</v>
      </c>
      <c r="O18" s="57">
        <v>90.5</v>
      </c>
      <c r="P18" s="57">
        <v>4.7</v>
      </c>
      <c r="Q18" s="57">
        <v>83</v>
      </c>
      <c r="R18" s="57">
        <v>7.3</v>
      </c>
      <c r="S18" s="57">
        <v>109.6</v>
      </c>
      <c r="T18" s="57">
        <v>1.1000000000000001</v>
      </c>
      <c r="U18" s="57">
        <v>17.100000000000001</v>
      </c>
      <c r="V18" s="57">
        <v>9.4</v>
      </c>
      <c r="W18" s="57">
        <v>80.2</v>
      </c>
      <c r="X18" s="66">
        <v>159.6</v>
      </c>
      <c r="Y18" s="66">
        <v>2395.9</v>
      </c>
      <c r="Z18" s="57"/>
      <c r="AA18" s="57"/>
      <c r="AB18" s="57">
        <v>1.5</v>
      </c>
      <c r="AC18" s="57">
        <v>22.9</v>
      </c>
      <c r="AD18" s="66">
        <v>44.4</v>
      </c>
      <c r="AE18" s="66">
        <v>698.3</v>
      </c>
      <c r="AF18" s="57">
        <v>5.7</v>
      </c>
      <c r="AG18" s="57">
        <v>63.6</v>
      </c>
      <c r="AH18" s="57">
        <v>2.1</v>
      </c>
      <c r="AI18" s="57">
        <v>50.3</v>
      </c>
      <c r="AJ18" s="57">
        <v>2.5</v>
      </c>
      <c r="AK18" s="57">
        <v>34.700000000000003</v>
      </c>
      <c r="AL18" s="57">
        <v>1.1000000000000001</v>
      </c>
      <c r="AM18" s="57">
        <v>13.9</v>
      </c>
      <c r="AN18" s="57">
        <v>57.8</v>
      </c>
      <c r="AO18" s="57">
        <v>1916.6</v>
      </c>
      <c r="AP18" s="57">
        <v>9.8000000000000007</v>
      </c>
      <c r="AQ18" s="57">
        <v>329.5</v>
      </c>
      <c r="AR18" s="57">
        <f>39.8+39.9+0.4</f>
        <v>80.099999999999994</v>
      </c>
      <c r="AS18" s="57">
        <f>581.5+17.8+477.6</f>
        <v>1076.9000000000001</v>
      </c>
      <c r="AT18" s="58">
        <f t="shared" si="0"/>
        <v>436.6</v>
      </c>
      <c r="AU18" s="58">
        <f t="shared" si="1"/>
        <v>7841.9</v>
      </c>
    </row>
    <row r="19" spans="1:47" ht="17.25" customHeight="1" x14ac:dyDescent="0.2">
      <c r="A19" s="27" t="s">
        <v>235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66"/>
      <c r="Y19" s="66"/>
      <c r="Z19" s="57"/>
      <c r="AA19" s="57"/>
      <c r="AB19" s="57"/>
      <c r="AC19" s="57"/>
      <c r="AD19" s="66">
        <v>0.32</v>
      </c>
      <c r="AE19" s="66">
        <v>5.44</v>
      </c>
      <c r="AF19" s="57"/>
      <c r="AG19" s="57"/>
      <c r="AH19" s="57"/>
      <c r="AI19" s="57"/>
      <c r="AJ19" s="57">
        <v>0.247</v>
      </c>
      <c r="AK19" s="57">
        <v>4.1589999999999998</v>
      </c>
      <c r="AL19" s="57">
        <v>69.584000000000003</v>
      </c>
      <c r="AM19" s="57">
        <v>2458.5149999999999</v>
      </c>
      <c r="AN19" s="57"/>
      <c r="AO19" s="57"/>
      <c r="AP19" s="57"/>
      <c r="AQ19" s="57"/>
      <c r="AR19" s="57">
        <v>75.900000000000006</v>
      </c>
      <c r="AS19" s="57">
        <v>978.8</v>
      </c>
      <c r="AT19" s="58">
        <f t="shared" si="0"/>
        <v>146.05099999999999</v>
      </c>
      <c r="AU19" s="58">
        <f t="shared" si="1"/>
        <v>3446.9139999999998</v>
      </c>
    </row>
    <row r="20" spans="1:47" ht="17.25" customHeight="1" x14ac:dyDescent="0.2">
      <c r="A20" s="27" t="s">
        <v>58</v>
      </c>
      <c r="B20" s="57">
        <v>2.8000000000000001E-2</v>
      </c>
      <c r="C20" s="57">
        <v>2.92E-2</v>
      </c>
      <c r="D20" s="57">
        <v>1.4E-2</v>
      </c>
      <c r="E20" s="57">
        <v>1.5E-3</v>
      </c>
      <c r="F20" s="57">
        <v>1.2999999999999999E-2</v>
      </c>
      <c r="G20" s="57">
        <v>1.9400000000000001E-3</v>
      </c>
      <c r="H20" s="57">
        <v>0.02</v>
      </c>
      <c r="I20" s="57">
        <v>2.8000000000000001E-2</v>
      </c>
      <c r="J20" s="57"/>
      <c r="K20" s="57"/>
      <c r="L20" s="57">
        <v>5.0000000000000001E-3</v>
      </c>
      <c r="M20" s="57">
        <v>3.0000000000000001E-3</v>
      </c>
      <c r="N20" s="57"/>
      <c r="O20" s="57"/>
      <c r="P20" s="57"/>
      <c r="Q20" s="57"/>
      <c r="R20" s="57">
        <v>0.04</v>
      </c>
      <c r="S20" s="57">
        <v>4.9500000000000004E-3</v>
      </c>
      <c r="T20" s="57"/>
      <c r="U20" s="57"/>
      <c r="V20" s="57"/>
      <c r="W20" s="57"/>
      <c r="X20" s="66"/>
      <c r="Y20" s="66"/>
      <c r="Z20" s="57"/>
      <c r="AA20" s="57"/>
      <c r="AB20" s="57">
        <v>0.01</v>
      </c>
      <c r="AC20" s="57">
        <v>1.1950000000000001E-2</v>
      </c>
      <c r="AD20" s="66"/>
      <c r="AE20" s="66"/>
      <c r="AF20" s="57"/>
      <c r="AG20" s="57"/>
      <c r="AH20" s="57">
        <v>1.7999999999999999E-2</v>
      </c>
      <c r="AI20" s="57">
        <v>1.7000000000000001E-2</v>
      </c>
      <c r="AJ20" s="57">
        <v>3.3000000000000002E-2</v>
      </c>
      <c r="AK20" s="57">
        <v>0.125</v>
      </c>
      <c r="AL20" s="57">
        <v>0.02</v>
      </c>
      <c r="AM20" s="57">
        <v>6.5000000000000002E-2</v>
      </c>
      <c r="AN20" s="57">
        <v>1.0999999999999999E-2</v>
      </c>
      <c r="AO20" s="57">
        <v>1.2E-2</v>
      </c>
      <c r="AP20" s="57">
        <v>8.0000000000000002E-3</v>
      </c>
      <c r="AQ20" s="57">
        <v>9.4000000000000004E-3</v>
      </c>
      <c r="AR20" s="57">
        <v>3.0500000000000003E-2</v>
      </c>
      <c r="AS20" s="57">
        <v>2.1650000000000003E-2</v>
      </c>
      <c r="AT20" s="58">
        <f t="shared" si="0"/>
        <v>0.2505</v>
      </c>
      <c r="AU20" s="58">
        <f t="shared" si="1"/>
        <v>0.33059000000000005</v>
      </c>
    </row>
    <row r="21" spans="1:47" ht="17.25" customHeight="1" x14ac:dyDescent="0.2">
      <c r="A21" s="27" t="s">
        <v>27</v>
      </c>
      <c r="B21" s="57"/>
      <c r="C21" s="57"/>
      <c r="D21" s="57">
        <v>8.0510000000000002</v>
      </c>
      <c r="E21" s="57">
        <v>71</v>
      </c>
      <c r="F21" s="57">
        <v>11.946999999999999</v>
      </c>
      <c r="G21" s="57">
        <v>230</v>
      </c>
      <c r="H21" s="57">
        <v>40.703000000000003</v>
      </c>
      <c r="I21" s="57">
        <v>1016</v>
      </c>
      <c r="J21" s="57">
        <v>19.28</v>
      </c>
      <c r="K21" s="57">
        <v>567</v>
      </c>
      <c r="L21" s="57"/>
      <c r="M21" s="57"/>
      <c r="N21" s="57">
        <v>1.823</v>
      </c>
      <c r="O21" s="57">
        <v>31</v>
      </c>
      <c r="P21" s="57">
        <v>24.556000000000001</v>
      </c>
      <c r="Q21" s="57">
        <v>690</v>
      </c>
      <c r="R21" s="57"/>
      <c r="S21" s="57"/>
      <c r="T21" s="57">
        <v>3.3069999999999999</v>
      </c>
      <c r="U21" s="57">
        <v>42</v>
      </c>
      <c r="V21" s="57">
        <v>25.736999999999998</v>
      </c>
      <c r="W21" s="57">
        <v>297</v>
      </c>
      <c r="X21" s="66">
        <v>111.72499999999999</v>
      </c>
      <c r="Y21" s="66">
        <v>2691</v>
      </c>
      <c r="Z21" s="57">
        <v>7.1999999999999995E-2</v>
      </c>
      <c r="AA21" s="57">
        <v>6</v>
      </c>
      <c r="AB21" s="57">
        <v>53.445999999999998</v>
      </c>
      <c r="AC21" s="57">
        <v>534</v>
      </c>
      <c r="AD21" s="66">
        <v>108.874</v>
      </c>
      <c r="AE21" s="66">
        <v>2299</v>
      </c>
      <c r="AF21" s="57">
        <v>3.016</v>
      </c>
      <c r="AG21" s="57">
        <v>45</v>
      </c>
      <c r="AH21" s="57">
        <v>2.681</v>
      </c>
      <c r="AI21" s="57">
        <v>34</v>
      </c>
      <c r="AJ21" s="57">
        <v>2.5070000000000001</v>
      </c>
      <c r="AK21" s="57">
        <v>45</v>
      </c>
      <c r="AL21" s="57"/>
      <c r="AM21" s="57"/>
      <c r="AN21" s="57">
        <v>62.588999999999999</v>
      </c>
      <c r="AO21" s="57">
        <v>1845</v>
      </c>
      <c r="AP21" s="57">
        <v>3.1040000000000001</v>
      </c>
      <c r="AQ21" s="57">
        <v>45</v>
      </c>
      <c r="AR21" s="57">
        <f>13.485+3.591+3.13+2.02+107.122</f>
        <v>129.34800000000001</v>
      </c>
      <c r="AS21" s="57">
        <f>114+39+36+31+1866</f>
        <v>2086</v>
      </c>
      <c r="AT21" s="58">
        <f t="shared" si="0"/>
        <v>612.76599999999996</v>
      </c>
      <c r="AU21" s="58">
        <f t="shared" si="1"/>
        <v>12574</v>
      </c>
    </row>
    <row r="22" spans="1:47" ht="17.25" customHeight="1" x14ac:dyDescent="0.2">
      <c r="A22" s="27" t="s">
        <v>28</v>
      </c>
      <c r="B22" s="57">
        <v>15</v>
      </c>
      <c r="C22" s="57">
        <v>224</v>
      </c>
      <c r="D22" s="57"/>
      <c r="E22" s="57"/>
      <c r="F22" s="57"/>
      <c r="G22" s="57"/>
      <c r="H22" s="57">
        <v>26</v>
      </c>
      <c r="I22" s="57">
        <v>578</v>
      </c>
      <c r="J22" s="57">
        <v>20</v>
      </c>
      <c r="K22" s="57">
        <v>421</v>
      </c>
      <c r="L22" s="57"/>
      <c r="M22" s="57"/>
      <c r="N22" s="57"/>
      <c r="O22" s="57"/>
      <c r="P22" s="57">
        <v>11</v>
      </c>
      <c r="Q22" s="57">
        <v>238</v>
      </c>
      <c r="R22" s="57"/>
      <c r="S22" s="57"/>
      <c r="T22" s="57"/>
      <c r="U22" s="57"/>
      <c r="V22" s="57">
        <v>22</v>
      </c>
      <c r="W22" s="57">
        <v>328</v>
      </c>
      <c r="X22" s="66">
        <v>260</v>
      </c>
      <c r="Y22" s="66">
        <v>4660</v>
      </c>
      <c r="Z22" s="57"/>
      <c r="AA22" s="57"/>
      <c r="AB22" s="57">
        <v>10</v>
      </c>
      <c r="AC22" s="57">
        <v>51</v>
      </c>
      <c r="AD22" s="66">
        <v>14</v>
      </c>
      <c r="AE22" s="66">
        <v>321</v>
      </c>
      <c r="AF22" s="57"/>
      <c r="AG22" s="57"/>
      <c r="AH22" s="57"/>
      <c r="AI22" s="57"/>
      <c r="AJ22" s="57"/>
      <c r="AK22" s="57"/>
      <c r="AL22" s="57"/>
      <c r="AM22" s="57"/>
      <c r="AN22" s="57">
        <v>50</v>
      </c>
      <c r="AO22" s="57">
        <v>1050</v>
      </c>
      <c r="AP22" s="57"/>
      <c r="AQ22" s="57"/>
      <c r="AR22" s="57">
        <v>46</v>
      </c>
      <c r="AS22" s="57">
        <v>137</v>
      </c>
      <c r="AT22" s="58">
        <f t="shared" si="0"/>
        <v>474</v>
      </c>
      <c r="AU22" s="58">
        <f t="shared" si="1"/>
        <v>8008</v>
      </c>
    </row>
    <row r="23" spans="1:47" ht="17.25" customHeight="1" x14ac:dyDescent="0.2">
      <c r="A23" s="31" t="s">
        <v>29</v>
      </c>
      <c r="B23" s="57"/>
      <c r="C23" s="57"/>
      <c r="D23" s="57"/>
      <c r="E23" s="57"/>
      <c r="F23" s="57"/>
      <c r="G23" s="57"/>
      <c r="H23" s="57">
        <v>6.02</v>
      </c>
      <c r="I23" s="57">
        <v>63.87</v>
      </c>
      <c r="J23" s="57"/>
      <c r="K23" s="57"/>
      <c r="L23" s="57"/>
      <c r="M23" s="57"/>
      <c r="N23" s="57"/>
      <c r="O23" s="57"/>
      <c r="P23" s="57">
        <v>2.57</v>
      </c>
      <c r="Q23" s="57">
        <v>25.97</v>
      </c>
      <c r="R23" s="57"/>
      <c r="S23" s="57"/>
      <c r="T23" s="57"/>
      <c r="U23" s="57"/>
      <c r="V23" s="57"/>
      <c r="W23" s="57"/>
      <c r="X23" s="66"/>
      <c r="Y23" s="66"/>
      <c r="Z23" s="57"/>
      <c r="AA23" s="57"/>
      <c r="AB23" s="57">
        <v>4.95</v>
      </c>
      <c r="AC23" s="57">
        <v>50.59</v>
      </c>
      <c r="AD23" s="66"/>
      <c r="AE23" s="66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>
        <v>2.59</v>
      </c>
      <c r="AQ23" s="57">
        <v>26.16</v>
      </c>
      <c r="AR23" s="57">
        <v>5.6029999999999998</v>
      </c>
      <c r="AS23" s="57">
        <v>53.23</v>
      </c>
      <c r="AT23" s="58">
        <f t="shared" si="0"/>
        <v>21.732999999999997</v>
      </c>
      <c r="AU23" s="58">
        <f t="shared" si="1"/>
        <v>219.82</v>
      </c>
    </row>
    <row r="24" spans="1:47" ht="17.25" customHeight="1" x14ac:dyDescent="0.2">
      <c r="A24" s="27" t="s">
        <v>30</v>
      </c>
      <c r="B24" s="57">
        <v>0.878</v>
      </c>
      <c r="C24" s="57">
        <v>5.8659999999999997</v>
      </c>
      <c r="D24" s="57">
        <v>0.54900000000000004</v>
      </c>
      <c r="E24" s="57">
        <v>5.1269999999999998</v>
      </c>
      <c r="F24" s="57">
        <v>0.65200000000000002</v>
      </c>
      <c r="G24" s="57">
        <v>7.7750000000000004</v>
      </c>
      <c r="H24" s="57">
        <v>0.96199999999999997</v>
      </c>
      <c r="I24" s="57">
        <v>13.051</v>
      </c>
      <c r="J24" s="57">
        <v>1.7869999999999999</v>
      </c>
      <c r="K24" s="57">
        <v>38.131999999999998</v>
      </c>
      <c r="L24" s="57">
        <v>0.42199999999999999</v>
      </c>
      <c r="M24" s="57">
        <v>3.9340000000000002</v>
      </c>
      <c r="N24" s="57">
        <v>0.72099999999999997</v>
      </c>
      <c r="O24" s="57">
        <v>9.8800000000000008</v>
      </c>
      <c r="P24" s="57">
        <v>1.119</v>
      </c>
      <c r="Q24" s="57">
        <v>40.344999999999999</v>
      </c>
      <c r="R24" s="57">
        <v>0.50800000000000001</v>
      </c>
      <c r="S24" s="57">
        <v>3.9420000000000002</v>
      </c>
      <c r="T24" s="57"/>
      <c r="U24" s="57"/>
      <c r="V24" s="57"/>
      <c r="W24" s="57"/>
      <c r="X24" s="66">
        <v>0.47</v>
      </c>
      <c r="Y24" s="66">
        <v>3.9449999999999998</v>
      </c>
      <c r="Z24" s="57"/>
      <c r="AA24" s="57"/>
      <c r="AB24" s="57">
        <v>0.85099999999999998</v>
      </c>
      <c r="AC24" s="57">
        <v>5.508</v>
      </c>
      <c r="AD24" s="66">
        <v>18.138999999999999</v>
      </c>
      <c r="AE24" s="66">
        <v>172.95500000000001</v>
      </c>
      <c r="AF24" s="57">
        <v>0.64900000000000002</v>
      </c>
      <c r="AG24" s="57">
        <v>8.3960000000000008</v>
      </c>
      <c r="AH24" s="57">
        <v>0.70199999999999996</v>
      </c>
      <c r="AI24" s="57">
        <v>9.1739999999999995</v>
      </c>
      <c r="AJ24" s="57">
        <v>4.4379999999999997</v>
      </c>
      <c r="AK24" s="57">
        <v>15.063000000000001</v>
      </c>
      <c r="AL24" s="57">
        <v>5.6029999999999998</v>
      </c>
      <c r="AM24" s="57">
        <v>30.048999999999999</v>
      </c>
      <c r="AN24" s="57">
        <v>2.0030000000000001</v>
      </c>
      <c r="AO24" s="57">
        <v>30.231000000000002</v>
      </c>
      <c r="AP24" s="57"/>
      <c r="AQ24" s="57"/>
      <c r="AR24" s="57"/>
      <c r="AS24" s="57"/>
      <c r="AT24" s="58">
        <f t="shared" si="0"/>
        <v>40.453000000000003</v>
      </c>
      <c r="AU24" s="58">
        <f t="shared" si="1"/>
        <v>403.37299999999999</v>
      </c>
    </row>
    <row r="25" spans="1:47" ht="17.25" customHeight="1" x14ac:dyDescent="0.2">
      <c r="A25" s="27" t="s">
        <v>31</v>
      </c>
      <c r="B25" s="57">
        <v>2.42</v>
      </c>
      <c r="C25" s="57">
        <v>5.32</v>
      </c>
      <c r="D25" s="57">
        <v>3.9</v>
      </c>
      <c r="E25" s="57">
        <v>20.399999999999999</v>
      </c>
      <c r="F25" s="57">
        <v>7.0000000000000007E-2</v>
      </c>
      <c r="G25" s="57">
        <v>0.38</v>
      </c>
      <c r="H25" s="57">
        <v>2.2000000000000002</v>
      </c>
      <c r="I25" s="57">
        <v>15.62</v>
      </c>
      <c r="J25" s="57">
        <v>3.02</v>
      </c>
      <c r="K25" s="57">
        <v>40.08</v>
      </c>
      <c r="L25" s="57">
        <v>0.16</v>
      </c>
      <c r="M25" s="57">
        <v>2.1</v>
      </c>
      <c r="N25" s="57">
        <v>0.2</v>
      </c>
      <c r="O25" s="57">
        <v>1.47</v>
      </c>
      <c r="P25" s="57">
        <v>0.15</v>
      </c>
      <c r="Q25" s="57">
        <v>1.49</v>
      </c>
      <c r="R25" s="57">
        <v>0.4</v>
      </c>
      <c r="S25" s="57">
        <v>2.06</v>
      </c>
      <c r="T25" s="57">
        <v>0.13</v>
      </c>
      <c r="U25" s="57">
        <v>0.3</v>
      </c>
      <c r="V25" s="57">
        <v>3.05</v>
      </c>
      <c r="W25" s="57">
        <v>20.74</v>
      </c>
      <c r="X25" s="66">
        <v>0.43</v>
      </c>
      <c r="Y25" s="66">
        <v>3.96</v>
      </c>
      <c r="Z25" s="57"/>
      <c r="AA25" s="57"/>
      <c r="AB25" s="57">
        <v>0.45</v>
      </c>
      <c r="AC25" s="57">
        <v>2.08</v>
      </c>
      <c r="AD25" s="66">
        <v>0.25</v>
      </c>
      <c r="AE25" s="66">
        <v>3.15</v>
      </c>
      <c r="AF25" s="57">
        <v>0.28000000000000003</v>
      </c>
      <c r="AG25" s="57">
        <v>0.62</v>
      </c>
      <c r="AH25" s="57">
        <v>7.0000000000000007E-2</v>
      </c>
      <c r="AI25" s="57">
        <v>0.02</v>
      </c>
      <c r="AJ25" s="57">
        <v>0.17</v>
      </c>
      <c r="AK25" s="57">
        <v>1.0900000000000001</v>
      </c>
      <c r="AL25" s="57">
        <v>0.13</v>
      </c>
      <c r="AM25" s="57">
        <v>1.89</v>
      </c>
      <c r="AN25" s="57">
        <v>0.8</v>
      </c>
      <c r="AO25" s="57">
        <v>7.39</v>
      </c>
      <c r="AP25" s="57">
        <v>0.35</v>
      </c>
      <c r="AQ25" s="57">
        <v>0.1</v>
      </c>
      <c r="AR25" s="57">
        <f>2.55+4.5+0.04+0.008+0.38+11.46+0.72+0.95+0.09</f>
        <v>20.698</v>
      </c>
      <c r="AS25" s="57">
        <f>5.97+75.02+0.02+0.07+2.74+5.47+9.62+6.95+0.56</f>
        <v>106.41999999999999</v>
      </c>
      <c r="AT25" s="58">
        <f t="shared" si="0"/>
        <v>39.328000000000003</v>
      </c>
      <c r="AU25" s="58">
        <f t="shared" si="1"/>
        <v>236.67999999999995</v>
      </c>
    </row>
    <row r="26" spans="1:47" ht="17.25" customHeight="1" x14ac:dyDescent="0.2">
      <c r="A26" s="30" t="s">
        <v>32</v>
      </c>
      <c r="B26" s="57">
        <v>2</v>
      </c>
      <c r="C26" s="57">
        <v>15</v>
      </c>
      <c r="D26" s="57">
        <v>0.04</v>
      </c>
      <c r="E26" s="57">
        <v>0.25</v>
      </c>
      <c r="F26" s="57">
        <v>2.5000000000000001E-2</v>
      </c>
      <c r="G26" s="57">
        <v>0.15</v>
      </c>
      <c r="H26" s="57">
        <v>0.3</v>
      </c>
      <c r="I26" s="57">
        <v>3</v>
      </c>
      <c r="J26" s="57">
        <v>2</v>
      </c>
      <c r="K26" s="57">
        <v>20</v>
      </c>
      <c r="L26" s="57"/>
      <c r="M26" s="57"/>
      <c r="N26" s="57">
        <v>0.3</v>
      </c>
      <c r="O26" s="57">
        <v>2.4</v>
      </c>
      <c r="P26" s="57">
        <v>0.55000000000000004</v>
      </c>
      <c r="Q26" s="57">
        <v>2.6</v>
      </c>
      <c r="R26" s="57">
        <v>0.35</v>
      </c>
      <c r="S26" s="57">
        <v>2.5</v>
      </c>
      <c r="T26" s="57"/>
      <c r="U26" s="57"/>
      <c r="V26" s="57">
        <v>0.04</v>
      </c>
      <c r="W26" s="57">
        <v>0.24</v>
      </c>
      <c r="X26" s="66">
        <v>0.65</v>
      </c>
      <c r="Y26" s="66">
        <v>6</v>
      </c>
      <c r="Z26" s="57"/>
      <c r="AA26" s="57"/>
      <c r="AB26" s="57">
        <v>1.4</v>
      </c>
      <c r="AC26" s="57">
        <v>13</v>
      </c>
      <c r="AD26" s="66">
        <v>3.8</v>
      </c>
      <c r="AE26" s="66">
        <v>32</v>
      </c>
      <c r="AF26" s="57">
        <v>0.45</v>
      </c>
      <c r="AG26" s="57">
        <v>2.5</v>
      </c>
      <c r="AH26" s="57">
        <v>0.4</v>
      </c>
      <c r="AI26" s="57">
        <v>3.8</v>
      </c>
      <c r="AJ26" s="57">
        <v>1.5</v>
      </c>
      <c r="AK26" s="57">
        <v>15</v>
      </c>
      <c r="AL26" s="57">
        <v>6</v>
      </c>
      <c r="AM26" s="57">
        <v>50</v>
      </c>
      <c r="AN26" s="57">
        <v>1.5</v>
      </c>
      <c r="AO26" s="57">
        <v>6</v>
      </c>
      <c r="AP26" s="57">
        <v>0.1</v>
      </c>
      <c r="AQ26" s="57">
        <v>0.8</v>
      </c>
      <c r="AR26" s="57">
        <f>4+0.6</f>
        <v>4.5999999999999996</v>
      </c>
      <c r="AS26" s="57">
        <f>2.5+30</f>
        <v>32.5</v>
      </c>
      <c r="AT26" s="58">
        <f t="shared" si="0"/>
        <v>26.005000000000003</v>
      </c>
      <c r="AU26" s="58">
        <f t="shared" si="1"/>
        <v>207.74</v>
      </c>
    </row>
    <row r="27" spans="1:47" ht="17.25" customHeight="1" x14ac:dyDescent="0.2">
      <c r="A27" s="27" t="s">
        <v>209</v>
      </c>
      <c r="B27" s="57">
        <v>11.23</v>
      </c>
      <c r="C27" s="57">
        <v>52.11</v>
      </c>
      <c r="D27" s="57">
        <v>11.49</v>
      </c>
      <c r="E27" s="57">
        <v>112.29</v>
      </c>
      <c r="F27" s="57">
        <v>10.19</v>
      </c>
      <c r="G27" s="57">
        <v>137.88999999999999</v>
      </c>
      <c r="H27" s="57">
        <v>130.08000000000001</v>
      </c>
      <c r="I27" s="57">
        <v>2193.7199999999998</v>
      </c>
      <c r="J27" s="57">
        <v>40.98</v>
      </c>
      <c r="K27" s="57">
        <v>1148.21</v>
      </c>
      <c r="L27" s="57">
        <v>0.08</v>
      </c>
      <c r="M27" s="57">
        <v>1.18</v>
      </c>
      <c r="N27" s="57">
        <v>0.08</v>
      </c>
      <c r="O27" s="57">
        <v>1.03</v>
      </c>
      <c r="P27" s="57">
        <v>44.7</v>
      </c>
      <c r="Q27" s="57">
        <v>675.47</v>
      </c>
      <c r="R27" s="57">
        <v>2.4500000000000002</v>
      </c>
      <c r="S27" s="57">
        <v>34.51</v>
      </c>
      <c r="T27" s="57">
        <v>0.08</v>
      </c>
      <c r="U27" s="57">
        <v>1.37</v>
      </c>
      <c r="V27" s="57">
        <v>67.040000000000006</v>
      </c>
      <c r="W27" s="57">
        <v>593.92999999999995</v>
      </c>
      <c r="X27" s="66">
        <v>34.92</v>
      </c>
      <c r="Y27" s="66">
        <v>419.09</v>
      </c>
      <c r="Z27" s="57">
        <v>2.0499999999999998</v>
      </c>
      <c r="AA27" s="57">
        <v>28.98</v>
      </c>
      <c r="AB27" s="57">
        <v>5.89</v>
      </c>
      <c r="AC27" s="57">
        <v>52.76</v>
      </c>
      <c r="AD27" s="66">
        <v>14.14</v>
      </c>
      <c r="AE27" s="66">
        <v>201.06</v>
      </c>
      <c r="AF27" s="57">
        <v>12.65</v>
      </c>
      <c r="AG27" s="57">
        <v>134.80000000000001</v>
      </c>
      <c r="AH27" s="57"/>
      <c r="AI27" s="57"/>
      <c r="AJ27" s="57">
        <v>43.46</v>
      </c>
      <c r="AK27" s="57">
        <v>410.1</v>
      </c>
      <c r="AL27" s="57">
        <v>0.06</v>
      </c>
      <c r="AM27" s="57">
        <v>0.99</v>
      </c>
      <c r="AN27" s="57">
        <v>96.55</v>
      </c>
      <c r="AO27" s="57">
        <v>1382.78</v>
      </c>
      <c r="AP27" s="57">
        <v>12.58</v>
      </c>
      <c r="AQ27" s="57">
        <v>242.95</v>
      </c>
      <c r="AR27" s="57">
        <v>147.44</v>
      </c>
      <c r="AS27" s="57">
        <v>1638.77</v>
      </c>
      <c r="AT27" s="58">
        <f t="shared" si="0"/>
        <v>688.1400000000001</v>
      </c>
      <c r="AU27" s="58">
        <f t="shared" si="1"/>
        <v>9463.99</v>
      </c>
    </row>
    <row r="28" spans="1:47" ht="17.25" customHeight="1" x14ac:dyDescent="0.2">
      <c r="A28" s="30" t="s">
        <v>181</v>
      </c>
      <c r="B28" s="57">
        <v>6.0999999999999999E-2</v>
      </c>
      <c r="C28" s="57">
        <v>0.49</v>
      </c>
      <c r="D28" s="57">
        <v>2.4E-2</v>
      </c>
      <c r="E28" s="57">
        <v>8.3000000000000004E-2</v>
      </c>
      <c r="F28" s="57">
        <v>3.5999999999999997E-2</v>
      </c>
      <c r="G28" s="57">
        <v>0.28399999999999997</v>
      </c>
      <c r="H28" s="57">
        <v>0.216</v>
      </c>
      <c r="I28" s="57">
        <v>3.3260000000000001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>
        <v>9.2999999999999999E-2</v>
      </c>
      <c r="W28" s="57">
        <v>0.88100000000000001</v>
      </c>
      <c r="X28" s="66">
        <v>5.0000000000000001E-3</v>
      </c>
      <c r="Y28" s="66">
        <v>0.09</v>
      </c>
      <c r="Z28" s="57"/>
      <c r="AA28" s="57"/>
      <c r="AB28" s="57"/>
      <c r="AC28" s="57"/>
      <c r="AD28" s="66"/>
      <c r="AE28" s="66"/>
      <c r="AF28" s="57">
        <v>8.0000000000000002E-3</v>
      </c>
      <c r="AG28" s="57">
        <v>4.3999999999999997E-2</v>
      </c>
      <c r="AH28" s="57"/>
      <c r="AI28" s="57"/>
      <c r="AJ28" s="57">
        <v>3.5000000000000003E-2</v>
      </c>
      <c r="AK28" s="57">
        <v>0.41199999999999998</v>
      </c>
      <c r="AL28" s="57">
        <v>0.45100000000000001</v>
      </c>
      <c r="AM28" s="57">
        <v>7.6879999999999997</v>
      </c>
      <c r="AN28" s="57">
        <v>1.2999999999999999E-2</v>
      </c>
      <c r="AO28" s="57">
        <v>0.154</v>
      </c>
      <c r="AP28" s="57">
        <v>2.5000000000000001E-2</v>
      </c>
      <c r="AQ28" s="57">
        <v>0.28000000000000003</v>
      </c>
      <c r="AR28" s="57">
        <f>0.042+0.008+0.101+0.015+0.011+0.02+0.099+0.192</f>
        <v>0.48800000000000004</v>
      </c>
      <c r="AS28" s="57">
        <f>0.146+0.048+1.011+0.091+0.058+0.298+2.475+7.14</f>
        <v>11.266999999999999</v>
      </c>
      <c r="AT28" s="58">
        <f t="shared" si="0"/>
        <v>1.4550000000000001</v>
      </c>
      <c r="AU28" s="58">
        <f t="shared" si="1"/>
        <v>24.998999999999995</v>
      </c>
    </row>
    <row r="29" spans="1:47" ht="17.25" customHeight="1" x14ac:dyDescent="0.2">
      <c r="A29" s="27" t="s">
        <v>33</v>
      </c>
      <c r="B29" s="57"/>
      <c r="C29" s="57"/>
      <c r="D29" s="57">
        <v>2.04</v>
      </c>
      <c r="E29" s="57">
        <v>30.59</v>
      </c>
      <c r="F29" s="57">
        <v>7.65</v>
      </c>
      <c r="G29" s="57">
        <v>114.63</v>
      </c>
      <c r="H29" s="57">
        <v>3.83</v>
      </c>
      <c r="I29" s="57">
        <v>81.27</v>
      </c>
      <c r="J29" s="57">
        <v>4.93</v>
      </c>
      <c r="K29" s="57">
        <v>86.67</v>
      </c>
      <c r="L29" s="57">
        <v>0.3</v>
      </c>
      <c r="M29" s="57">
        <v>4.45</v>
      </c>
      <c r="N29" s="57">
        <v>5.87</v>
      </c>
      <c r="O29" s="57">
        <v>120.23</v>
      </c>
      <c r="P29" s="57">
        <v>10.11</v>
      </c>
      <c r="Q29" s="57">
        <v>180.71</v>
      </c>
      <c r="R29" s="57">
        <v>2.15</v>
      </c>
      <c r="S29" s="57">
        <v>32.26</v>
      </c>
      <c r="T29" s="57">
        <v>4.8600000000000003</v>
      </c>
      <c r="U29" s="57">
        <v>84.51</v>
      </c>
      <c r="V29" s="57">
        <v>3.17</v>
      </c>
      <c r="W29" s="57">
        <v>32.979999999999997</v>
      </c>
      <c r="X29" s="66">
        <v>8.26</v>
      </c>
      <c r="Y29" s="66">
        <v>183.65</v>
      </c>
      <c r="Z29" s="57"/>
      <c r="AA29" s="57"/>
      <c r="AB29" s="57">
        <v>20.329999999999998</v>
      </c>
      <c r="AC29" s="57">
        <v>208.17</v>
      </c>
      <c r="AD29" s="66">
        <v>85.25</v>
      </c>
      <c r="AE29" s="66">
        <v>2132.31</v>
      </c>
      <c r="AF29" s="57">
        <v>11.75</v>
      </c>
      <c r="AG29" s="57">
        <v>240.46</v>
      </c>
      <c r="AH29" s="57">
        <v>0.1</v>
      </c>
      <c r="AI29" s="57">
        <v>1.54</v>
      </c>
      <c r="AJ29" s="57"/>
      <c r="AK29" s="57"/>
      <c r="AL29" s="57"/>
      <c r="AM29" s="57"/>
      <c r="AN29" s="57">
        <v>6.98</v>
      </c>
      <c r="AO29" s="57">
        <v>170.83</v>
      </c>
      <c r="AP29" s="57">
        <v>0.59</v>
      </c>
      <c r="AQ29" s="57">
        <v>10.28</v>
      </c>
      <c r="AR29" s="57">
        <f>1.36+2.61+1.96</f>
        <v>5.93</v>
      </c>
      <c r="AS29" s="57">
        <f>20.41+6.59+40.07</f>
        <v>67.069999999999993</v>
      </c>
      <c r="AT29" s="58">
        <f t="shared" si="0"/>
        <v>184.1</v>
      </c>
      <c r="AU29" s="58">
        <f t="shared" si="1"/>
        <v>3782.6100000000006</v>
      </c>
    </row>
    <row r="30" spans="1:47" ht="17.25" customHeight="1" x14ac:dyDescent="0.2">
      <c r="A30" s="27" t="s">
        <v>34</v>
      </c>
      <c r="B30" s="57">
        <v>1.1100000000000001</v>
      </c>
      <c r="C30" s="57">
        <v>2.2999999999999998</v>
      </c>
      <c r="D30" s="57">
        <v>0.95</v>
      </c>
      <c r="E30" s="57">
        <v>2.59</v>
      </c>
      <c r="F30" s="57">
        <v>4.45</v>
      </c>
      <c r="G30" s="57">
        <v>22.73</v>
      </c>
      <c r="H30" s="57">
        <v>5.55</v>
      </c>
      <c r="I30" s="57">
        <v>28.38</v>
      </c>
      <c r="J30" s="57">
        <v>1.19</v>
      </c>
      <c r="K30" s="57">
        <v>5.69</v>
      </c>
      <c r="L30" s="57"/>
      <c r="M30" s="57"/>
      <c r="N30" s="57">
        <v>1.05</v>
      </c>
      <c r="O30" s="57">
        <v>6.03</v>
      </c>
      <c r="P30" s="57">
        <v>9.42</v>
      </c>
      <c r="Q30" s="57">
        <v>36.61</v>
      </c>
      <c r="R30" s="57">
        <v>2.34</v>
      </c>
      <c r="S30" s="57">
        <v>8.91</v>
      </c>
      <c r="T30" s="57">
        <v>1.56</v>
      </c>
      <c r="U30" s="57">
        <v>6.21</v>
      </c>
      <c r="V30" s="57">
        <v>4.0199999999999996</v>
      </c>
      <c r="W30" s="57">
        <v>12.88</v>
      </c>
      <c r="X30" s="66">
        <v>139.05000000000001</v>
      </c>
      <c r="Y30" s="66">
        <v>476.21</v>
      </c>
      <c r="Z30" s="57"/>
      <c r="AA30" s="57"/>
      <c r="AB30" s="57">
        <v>10.74</v>
      </c>
      <c r="AC30" s="57">
        <v>21.7</v>
      </c>
      <c r="AD30" s="66">
        <v>9.17</v>
      </c>
      <c r="AE30" s="66">
        <v>107.2</v>
      </c>
      <c r="AF30" s="57">
        <v>0.56000000000000005</v>
      </c>
      <c r="AG30" s="57">
        <v>2.42</v>
      </c>
      <c r="AH30" s="57">
        <v>1.1399999999999999</v>
      </c>
      <c r="AI30" s="57">
        <v>7.16</v>
      </c>
      <c r="AJ30" s="57">
        <v>0.5</v>
      </c>
      <c r="AK30" s="57">
        <v>1.64</v>
      </c>
      <c r="AL30" s="57"/>
      <c r="AM30" s="57"/>
      <c r="AN30" s="57">
        <v>15.51</v>
      </c>
      <c r="AO30" s="57">
        <v>73.569999999999993</v>
      </c>
      <c r="AP30" s="57">
        <v>2.95</v>
      </c>
      <c r="AQ30" s="57">
        <v>16.84</v>
      </c>
      <c r="AR30" s="57">
        <v>13.17</v>
      </c>
      <c r="AS30" s="57">
        <v>34.43</v>
      </c>
      <c r="AT30" s="58">
        <f t="shared" si="0"/>
        <v>224.42999999999995</v>
      </c>
      <c r="AU30" s="58">
        <f t="shared" si="1"/>
        <v>873.5</v>
      </c>
    </row>
    <row r="31" spans="1:47" ht="17.25" customHeight="1" x14ac:dyDescent="0.2">
      <c r="A31" s="27" t="s">
        <v>35</v>
      </c>
      <c r="B31" s="57">
        <v>1.1100000000000001</v>
      </c>
      <c r="C31" s="57">
        <v>5.5330000000000004</v>
      </c>
      <c r="D31" s="57">
        <v>0.31</v>
      </c>
      <c r="E31" s="57">
        <v>1.883</v>
      </c>
      <c r="F31" s="57">
        <v>0.17799999999999999</v>
      </c>
      <c r="G31" s="57">
        <v>1.4450000000000001</v>
      </c>
      <c r="H31" s="57">
        <v>0.25800000000000001</v>
      </c>
      <c r="I31" s="57">
        <v>1.663</v>
      </c>
      <c r="J31" s="57">
        <v>1.2050000000000001</v>
      </c>
      <c r="K31" s="57">
        <v>7.2480000000000002</v>
      </c>
      <c r="L31" s="57">
        <v>0.03</v>
      </c>
      <c r="M31" s="57">
        <v>9.1999999999999998E-2</v>
      </c>
      <c r="N31" s="57">
        <v>0.36</v>
      </c>
      <c r="O31" s="57">
        <v>2.8180000000000001</v>
      </c>
      <c r="P31" s="57">
        <v>0.77500000000000002</v>
      </c>
      <c r="Q31" s="57">
        <v>4.173</v>
      </c>
      <c r="R31" s="57">
        <v>6.5000000000000002E-2</v>
      </c>
      <c r="S31" s="57">
        <v>0.29699999999999999</v>
      </c>
      <c r="T31" s="57"/>
      <c r="U31" s="57"/>
      <c r="V31" s="57">
        <v>1.125</v>
      </c>
      <c r="W31" s="57">
        <v>7.4580000000000002</v>
      </c>
      <c r="X31" s="66">
        <v>0.315</v>
      </c>
      <c r="Y31" s="66">
        <v>1.7090000000000001</v>
      </c>
      <c r="Z31" s="57"/>
      <c r="AA31" s="57"/>
      <c r="AB31" s="57">
        <v>1.9950000000000001</v>
      </c>
      <c r="AC31" s="57">
        <v>9.1470000000000002</v>
      </c>
      <c r="AD31" s="66">
        <f>5.3+4.755</f>
        <v>10.055</v>
      </c>
      <c r="AE31" s="66">
        <f>23.982+25.153</f>
        <v>49.134999999999998</v>
      </c>
      <c r="AF31" s="57">
        <v>0.74</v>
      </c>
      <c r="AG31" s="57">
        <v>5.42</v>
      </c>
      <c r="AH31" s="57"/>
      <c r="AI31" s="57"/>
      <c r="AJ31" s="57"/>
      <c r="AK31" s="57"/>
      <c r="AL31" s="57"/>
      <c r="AM31" s="57"/>
      <c r="AN31" s="57">
        <v>0.995</v>
      </c>
      <c r="AO31" s="57">
        <v>8.9550000000000001</v>
      </c>
      <c r="AP31" s="57"/>
      <c r="AQ31" s="57"/>
      <c r="AR31" s="57">
        <f>0.125+0.09+2.365+2.435+0.33+0.7</f>
        <v>6.0450000000000008</v>
      </c>
      <c r="AS31" s="57">
        <f>0.612+0.315+8.667+11.091+1.229+3.622</f>
        <v>25.535999999999998</v>
      </c>
      <c r="AT31" s="58">
        <f t="shared" si="0"/>
        <v>25.561</v>
      </c>
      <c r="AU31" s="58">
        <f t="shared" si="1"/>
        <v>132.512</v>
      </c>
    </row>
    <row r="32" spans="1:47" ht="17.25" customHeight="1" x14ac:dyDescent="0.2">
      <c r="A32" s="27" t="s">
        <v>36</v>
      </c>
      <c r="B32" s="57">
        <v>3.43</v>
      </c>
      <c r="C32" s="57">
        <v>72.430000000000007</v>
      </c>
      <c r="D32" s="57">
        <v>1.21</v>
      </c>
      <c r="E32" s="57">
        <v>21.74</v>
      </c>
      <c r="F32" s="57">
        <v>0.3</v>
      </c>
      <c r="G32" s="57">
        <v>5.7</v>
      </c>
      <c r="H32" s="57">
        <v>10.31</v>
      </c>
      <c r="I32" s="57">
        <v>114.74</v>
      </c>
      <c r="J32" s="57">
        <v>2.04</v>
      </c>
      <c r="K32" s="57">
        <v>130.41999999999999</v>
      </c>
      <c r="L32" s="57"/>
      <c r="M32" s="57"/>
      <c r="N32" s="57">
        <v>3.51</v>
      </c>
      <c r="O32" s="57">
        <v>111.21</v>
      </c>
      <c r="P32" s="57">
        <v>0.95</v>
      </c>
      <c r="Q32" s="57">
        <v>20.170000000000002</v>
      </c>
      <c r="R32" s="57">
        <v>0.88</v>
      </c>
      <c r="S32" s="57">
        <v>8.36</v>
      </c>
      <c r="T32" s="57">
        <v>0.22</v>
      </c>
      <c r="U32" s="57">
        <v>6.49</v>
      </c>
      <c r="V32" s="57">
        <v>8.27</v>
      </c>
      <c r="W32" s="57">
        <v>75.98</v>
      </c>
      <c r="X32" s="66">
        <v>37.700000000000003</v>
      </c>
      <c r="Y32" s="66">
        <v>429.72</v>
      </c>
      <c r="Z32" s="57"/>
      <c r="AA32" s="57"/>
      <c r="AB32" s="57"/>
      <c r="AC32" s="57"/>
      <c r="AD32" s="66">
        <v>5.05</v>
      </c>
      <c r="AE32" s="66">
        <v>105.11</v>
      </c>
      <c r="AF32" s="57">
        <v>0.59</v>
      </c>
      <c r="AG32" s="57">
        <v>18.739999999999998</v>
      </c>
      <c r="AH32" s="57">
        <v>0.98</v>
      </c>
      <c r="AI32" s="57">
        <v>23.83</v>
      </c>
      <c r="AJ32" s="57">
        <v>0.42</v>
      </c>
      <c r="AK32" s="57">
        <v>9.11</v>
      </c>
      <c r="AL32" s="57">
        <v>113.77</v>
      </c>
      <c r="AM32" s="57">
        <v>4523.2299999999996</v>
      </c>
      <c r="AN32" s="57">
        <v>23.72</v>
      </c>
      <c r="AO32" s="57">
        <v>302.27</v>
      </c>
      <c r="AP32" s="57">
        <v>6.08</v>
      </c>
      <c r="AQ32" s="57">
        <v>205.49</v>
      </c>
      <c r="AR32" s="57">
        <f>53.9+3.29+1.16</f>
        <v>58.349999999999994</v>
      </c>
      <c r="AS32" s="57">
        <f>1672.25+1.51+39.43</f>
        <v>1713.19</v>
      </c>
      <c r="AT32" s="58">
        <f t="shared" si="0"/>
        <v>277.77999999999997</v>
      </c>
      <c r="AU32" s="58">
        <f t="shared" si="1"/>
        <v>7897.93</v>
      </c>
    </row>
    <row r="33" spans="1:47" ht="17.25" customHeight="1" x14ac:dyDescent="0.2">
      <c r="A33" s="27" t="s">
        <v>37</v>
      </c>
      <c r="B33" s="57"/>
      <c r="C33" s="57"/>
      <c r="D33" s="57">
        <v>0.78</v>
      </c>
      <c r="E33" s="57">
        <v>7.33</v>
      </c>
      <c r="F33" s="57">
        <v>1.73</v>
      </c>
      <c r="G33" s="57">
        <v>35.840000000000003</v>
      </c>
      <c r="H33" s="57">
        <v>3.47</v>
      </c>
      <c r="I33" s="57">
        <v>52.38</v>
      </c>
      <c r="J33" s="57">
        <v>2.96</v>
      </c>
      <c r="K33" s="57">
        <v>76.34</v>
      </c>
      <c r="L33" s="57">
        <v>0.1</v>
      </c>
      <c r="M33" s="57">
        <v>0.81</v>
      </c>
      <c r="N33" s="57">
        <v>0.33</v>
      </c>
      <c r="O33" s="57">
        <v>3.97</v>
      </c>
      <c r="P33" s="57">
        <v>2.4900000000000002</v>
      </c>
      <c r="Q33" s="57">
        <v>50.62</v>
      </c>
      <c r="R33" s="57">
        <v>1.46</v>
      </c>
      <c r="S33" s="57">
        <v>14.8</v>
      </c>
      <c r="T33" s="57"/>
      <c r="U33" s="57"/>
      <c r="V33" s="57">
        <v>1.66</v>
      </c>
      <c r="W33" s="57">
        <v>15.83</v>
      </c>
      <c r="X33" s="66"/>
      <c r="Y33" s="66"/>
      <c r="Z33" s="57">
        <v>0.44</v>
      </c>
      <c r="AA33" s="57">
        <v>5.2</v>
      </c>
      <c r="AB33" s="57"/>
      <c r="AC33" s="57"/>
      <c r="AD33" s="66">
        <v>8.32</v>
      </c>
      <c r="AE33" s="66">
        <v>149.05000000000001</v>
      </c>
      <c r="AF33" s="57">
        <v>2.88</v>
      </c>
      <c r="AG33" s="57">
        <v>55.57</v>
      </c>
      <c r="AH33" s="57">
        <v>0.82</v>
      </c>
      <c r="AI33" s="57">
        <v>16.239999999999998</v>
      </c>
      <c r="AJ33" s="57"/>
      <c r="AK33" s="57"/>
      <c r="AL33" s="57"/>
      <c r="AM33" s="57"/>
      <c r="AN33" s="57">
        <v>1.57</v>
      </c>
      <c r="AO33" s="57">
        <v>38.299999999999997</v>
      </c>
      <c r="AP33" s="57">
        <v>0.86</v>
      </c>
      <c r="AQ33" s="57">
        <v>21.64</v>
      </c>
      <c r="AR33" s="57">
        <v>15.23</v>
      </c>
      <c r="AS33" s="57">
        <v>210.13</v>
      </c>
      <c r="AT33" s="58">
        <f t="shared" si="0"/>
        <v>45.1</v>
      </c>
      <c r="AU33" s="58">
        <f t="shared" si="1"/>
        <v>754.05</v>
      </c>
    </row>
    <row r="34" spans="1:47" ht="17.25" customHeight="1" x14ac:dyDescent="0.2">
      <c r="A34" s="27" t="s">
        <v>38</v>
      </c>
      <c r="D34" s="57">
        <v>1.54</v>
      </c>
      <c r="E34" s="57">
        <v>27.332000000000001</v>
      </c>
      <c r="F34" s="57">
        <v>6.3220000000000001</v>
      </c>
      <c r="G34" s="57">
        <v>194.41200000000001</v>
      </c>
      <c r="H34" s="57">
        <v>3.133</v>
      </c>
      <c r="I34" s="57">
        <v>106.35899999999999</v>
      </c>
      <c r="J34" s="57">
        <v>2.1469999999999998</v>
      </c>
      <c r="K34" s="57">
        <v>73.379000000000005</v>
      </c>
      <c r="L34" s="57"/>
      <c r="M34" s="57"/>
      <c r="N34" s="57">
        <v>3.2839999999999998</v>
      </c>
      <c r="O34" s="57">
        <v>83.838999999999999</v>
      </c>
      <c r="P34" s="57">
        <v>10.724</v>
      </c>
      <c r="Q34" s="57">
        <v>240.97300000000001</v>
      </c>
      <c r="R34" s="57"/>
      <c r="S34" s="57"/>
      <c r="T34" s="57">
        <v>23.736000000000001</v>
      </c>
      <c r="U34" s="57">
        <v>617.13599999999997</v>
      </c>
      <c r="V34" s="57">
        <v>12.44</v>
      </c>
      <c r="W34" s="57">
        <v>159.29499999999999</v>
      </c>
      <c r="X34" s="66">
        <v>26.63</v>
      </c>
      <c r="Y34" s="66">
        <v>474.01</v>
      </c>
      <c r="Z34" s="57">
        <v>1.341</v>
      </c>
      <c r="AA34" s="57">
        <v>35.11</v>
      </c>
      <c r="AB34" s="57">
        <v>175.005</v>
      </c>
      <c r="AC34" s="57">
        <v>1877.931</v>
      </c>
      <c r="AD34" s="66">
        <v>603.75800000000004</v>
      </c>
      <c r="AE34" s="66">
        <v>14430.279</v>
      </c>
      <c r="AF34" s="57">
        <v>2.7959999999999998</v>
      </c>
      <c r="AG34" s="57">
        <v>76.798000000000002</v>
      </c>
      <c r="AH34" s="57">
        <v>4.306</v>
      </c>
      <c r="AI34" s="57">
        <v>174.30199999999999</v>
      </c>
      <c r="AJ34" s="57">
        <v>18.829000000000001</v>
      </c>
      <c r="AK34" s="57">
        <v>264.83300000000003</v>
      </c>
      <c r="AL34" s="57"/>
      <c r="AM34" s="57"/>
      <c r="AN34" s="57">
        <v>7.234</v>
      </c>
      <c r="AO34" s="57">
        <v>310.81299999999999</v>
      </c>
      <c r="AP34" s="57">
        <v>9.4390000000000001</v>
      </c>
      <c r="AQ34" s="57">
        <v>424.755</v>
      </c>
      <c r="AR34" s="57"/>
      <c r="AS34" s="57"/>
      <c r="AT34" s="58">
        <f t="shared" si="0"/>
        <v>912.6640000000001</v>
      </c>
      <c r="AU34" s="58">
        <f t="shared" si="1"/>
        <v>19571.555999999997</v>
      </c>
    </row>
    <row r="35" spans="1:47" ht="17.25" customHeight="1" x14ac:dyDescent="0.2">
      <c r="A35" s="27" t="s">
        <v>98</v>
      </c>
      <c r="B35" s="57">
        <v>5.4450000000000003</v>
      </c>
      <c r="C35" s="57">
        <v>40.130000000000003</v>
      </c>
      <c r="D35" s="57"/>
      <c r="E35" s="57"/>
      <c r="F35" s="57"/>
      <c r="G35" s="57"/>
      <c r="H35" s="57">
        <v>2.3279999999999998</v>
      </c>
      <c r="I35" s="57">
        <v>27.120999999999999</v>
      </c>
      <c r="J35" s="57">
        <v>5.76</v>
      </c>
      <c r="K35" s="57">
        <v>72.805999999999997</v>
      </c>
      <c r="L35" s="57">
        <v>2.4</v>
      </c>
      <c r="M35" s="57">
        <v>13.56</v>
      </c>
      <c r="N35" s="57"/>
      <c r="O35" s="57"/>
      <c r="P35" s="57">
        <v>2.7549999999999999</v>
      </c>
      <c r="Q35" s="57">
        <v>36.723999999999997</v>
      </c>
      <c r="R35" s="57"/>
      <c r="S35" s="57"/>
      <c r="T35" s="57"/>
      <c r="U35" s="57"/>
      <c r="V35" s="57">
        <v>3.3420000000000001</v>
      </c>
      <c r="W35" s="57">
        <v>27.939</v>
      </c>
      <c r="X35" s="66">
        <v>3.8180000000000001</v>
      </c>
      <c r="Y35" s="66">
        <v>39.402000000000001</v>
      </c>
      <c r="Z35" s="57"/>
      <c r="AA35" s="57"/>
      <c r="AB35" s="57">
        <v>11.65</v>
      </c>
      <c r="AC35" s="57">
        <v>78.287999999999997</v>
      </c>
      <c r="AD35" s="66">
        <v>25.04</v>
      </c>
      <c r="AE35" s="66">
        <v>434.44400000000002</v>
      </c>
      <c r="AF35" s="57">
        <v>4.665</v>
      </c>
      <c r="AG35" s="57">
        <v>58.079000000000001</v>
      </c>
      <c r="AH35" s="57"/>
      <c r="AI35" s="57"/>
      <c r="AJ35" s="57"/>
      <c r="AK35" s="57"/>
      <c r="AL35" s="57"/>
      <c r="AM35" s="57"/>
      <c r="AN35" s="57">
        <v>8.7899999999999991</v>
      </c>
      <c r="AO35" s="57">
        <v>102.491</v>
      </c>
      <c r="AP35" s="57"/>
      <c r="AQ35" s="57"/>
      <c r="AR35" s="57">
        <f>12.04</f>
        <v>12.04</v>
      </c>
      <c r="AS35" s="57">
        <f>128.587</f>
        <v>128.58699999999999</v>
      </c>
      <c r="AT35" s="58">
        <f t="shared" si="0"/>
        <v>88.032999999999987</v>
      </c>
      <c r="AU35" s="58">
        <f t="shared" si="1"/>
        <v>1059.5709999999999</v>
      </c>
    </row>
    <row r="36" spans="1:47" ht="17.25" customHeight="1" x14ac:dyDescent="0.2">
      <c r="A36" s="27" t="s">
        <v>40</v>
      </c>
      <c r="B36" s="57">
        <v>23.05</v>
      </c>
      <c r="C36" s="57">
        <v>126.8</v>
      </c>
      <c r="D36" s="57"/>
      <c r="E36" s="57"/>
      <c r="F36" s="57"/>
      <c r="G36" s="57"/>
      <c r="H36" s="57">
        <v>161</v>
      </c>
      <c r="I36" s="57">
        <v>2965.6</v>
      </c>
      <c r="J36" s="57">
        <v>77.8</v>
      </c>
      <c r="K36" s="57">
        <v>2179.1999999999998</v>
      </c>
      <c r="L36" s="57"/>
      <c r="M36" s="57"/>
      <c r="N36" s="57"/>
      <c r="O36" s="57"/>
      <c r="P36" s="57">
        <v>73</v>
      </c>
      <c r="Q36" s="57">
        <v>1863</v>
      </c>
      <c r="R36" s="57"/>
      <c r="S36" s="57"/>
      <c r="T36" s="57"/>
      <c r="U36" s="57"/>
      <c r="V36" s="57">
        <v>74.599999999999994</v>
      </c>
      <c r="W36" s="57">
        <v>869.1</v>
      </c>
      <c r="X36" s="66">
        <v>22</v>
      </c>
      <c r="Y36" s="66">
        <v>309.10000000000002</v>
      </c>
      <c r="Z36" s="57"/>
      <c r="AA36" s="57"/>
      <c r="AB36" s="57">
        <v>21.8</v>
      </c>
      <c r="AC36" s="57">
        <v>132.11000000000001</v>
      </c>
      <c r="AD36" s="66">
        <v>386.60700000000003</v>
      </c>
      <c r="AE36" s="66">
        <v>11591.3</v>
      </c>
      <c r="AF36" s="57">
        <v>40.6</v>
      </c>
      <c r="AG36" s="57">
        <v>496.2</v>
      </c>
      <c r="AH36" s="57"/>
      <c r="AI36" s="57"/>
      <c r="AJ36" s="57">
        <v>22.9</v>
      </c>
      <c r="AK36" s="57">
        <v>236.1</v>
      </c>
      <c r="AL36" s="57"/>
      <c r="AM36" s="57"/>
      <c r="AN36" s="57">
        <v>56</v>
      </c>
      <c r="AO36" s="57">
        <v>1125.5999999999999</v>
      </c>
      <c r="AP36" s="57">
        <v>16.600000000000001</v>
      </c>
      <c r="AQ36" s="57">
        <v>233.5</v>
      </c>
      <c r="AR36" s="57">
        <f>202+170</f>
        <v>372</v>
      </c>
      <c r="AS36" s="57">
        <f>2177.7+1161.5</f>
        <v>3339.2</v>
      </c>
      <c r="AT36" s="58">
        <f t="shared" si="0"/>
        <v>1347.9570000000001</v>
      </c>
      <c r="AU36" s="58">
        <f t="shared" si="1"/>
        <v>25466.809999999998</v>
      </c>
    </row>
    <row r="37" spans="1:47" ht="17.25" customHeight="1" x14ac:dyDescent="0.2">
      <c r="A37" s="2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8"/>
      <c r="AU37" s="58"/>
    </row>
    <row r="38" spans="1:47" ht="17.25" customHeight="1" x14ac:dyDescent="0.2">
      <c r="A38" s="27" t="s">
        <v>9</v>
      </c>
      <c r="B38" s="58">
        <f>SUM(B3:B37)</f>
        <v>123.51100000000001</v>
      </c>
      <c r="C38" s="58">
        <f t="shared" ref="C38:AU38" si="2">SUM(C3:C37)</f>
        <v>1268.8992000000001</v>
      </c>
      <c r="D38" s="58">
        <f t="shared" si="2"/>
        <v>83.215000000000018</v>
      </c>
      <c r="E38" s="58">
        <f t="shared" si="2"/>
        <v>940.15150000000006</v>
      </c>
      <c r="F38" s="58">
        <f t="shared" si="2"/>
        <v>113.923</v>
      </c>
      <c r="G38" s="58">
        <f t="shared" si="2"/>
        <v>2089.8919400000004</v>
      </c>
      <c r="H38" s="58">
        <f t="shared" si="2"/>
        <v>722.07200000000012</v>
      </c>
      <c r="I38" s="58">
        <f t="shared" si="2"/>
        <v>13443.585999999998</v>
      </c>
      <c r="J38" s="58">
        <f t="shared" si="2"/>
        <v>372.35500000000002</v>
      </c>
      <c r="K38" s="58">
        <f t="shared" si="2"/>
        <v>8534.2279999999992</v>
      </c>
      <c r="L38" s="58">
        <f t="shared" si="2"/>
        <v>29.137999999999998</v>
      </c>
      <c r="M38" s="58">
        <f t="shared" si="2"/>
        <v>153.35000000000002</v>
      </c>
      <c r="N38" s="58">
        <f t="shared" si="2"/>
        <v>64.264999999999986</v>
      </c>
      <c r="O38" s="58">
        <f t="shared" si="2"/>
        <v>1144.5379999999998</v>
      </c>
      <c r="P38" s="58">
        <f t="shared" si="2"/>
        <v>402.19799999999998</v>
      </c>
      <c r="Q38" s="58">
        <f t="shared" si="2"/>
        <v>7886.7330000000011</v>
      </c>
      <c r="R38" s="58">
        <f t="shared" si="2"/>
        <v>40.896000000000001</v>
      </c>
      <c r="S38" s="58">
        <f t="shared" si="2"/>
        <v>640.98894999999993</v>
      </c>
      <c r="T38" s="58">
        <f t="shared" si="2"/>
        <v>41.814999999999998</v>
      </c>
      <c r="U38" s="58">
        <f t="shared" si="2"/>
        <v>868.02099999999996</v>
      </c>
      <c r="V38" s="58">
        <f t="shared" si="2"/>
        <v>530.78500000000008</v>
      </c>
      <c r="W38" s="58">
        <f t="shared" si="2"/>
        <v>6350.2659999999996</v>
      </c>
      <c r="X38" s="58">
        <f t="shared" si="2"/>
        <v>1051.527</v>
      </c>
      <c r="Y38" s="58">
        <f t="shared" si="2"/>
        <v>16813.009999999995</v>
      </c>
      <c r="Z38" s="58">
        <f t="shared" si="2"/>
        <v>13.816999999999997</v>
      </c>
      <c r="AA38" s="58">
        <f t="shared" si="2"/>
        <v>224.27099999999996</v>
      </c>
      <c r="AB38" s="58">
        <f t="shared" si="2"/>
        <v>420.90100000000001</v>
      </c>
      <c r="AC38" s="58">
        <f t="shared" si="2"/>
        <v>4006.1689500000002</v>
      </c>
      <c r="AD38" s="58">
        <f t="shared" si="2"/>
        <v>1992.211</v>
      </c>
      <c r="AE38" s="58">
        <f t="shared" si="2"/>
        <v>45343.59</v>
      </c>
      <c r="AF38" s="58">
        <f t="shared" si="2"/>
        <v>170.297</v>
      </c>
      <c r="AG38" s="58">
        <f t="shared" si="2"/>
        <v>2410.7749999999996</v>
      </c>
      <c r="AH38" s="58">
        <f t="shared" si="2"/>
        <v>16.165000000000003</v>
      </c>
      <c r="AI38" s="58">
        <f t="shared" si="2"/>
        <v>372.81600000000003</v>
      </c>
      <c r="AJ38" s="58">
        <f t="shared" si="2"/>
        <v>111.76000000000002</v>
      </c>
      <c r="AK38" s="58">
        <f t="shared" si="2"/>
        <v>1132.3630000000001</v>
      </c>
      <c r="AL38" s="58">
        <f t="shared" si="2"/>
        <v>206.95499999999998</v>
      </c>
      <c r="AM38" s="58">
        <f t="shared" si="2"/>
        <v>7236.5929999999989</v>
      </c>
      <c r="AN38" s="58">
        <f t="shared" si="2"/>
        <v>879.63199999999995</v>
      </c>
      <c r="AO38" s="58">
        <f t="shared" si="2"/>
        <v>18226.634999999998</v>
      </c>
      <c r="AP38" s="58">
        <f t="shared" si="2"/>
        <v>80.588000000000008</v>
      </c>
      <c r="AQ38" s="58">
        <f t="shared" si="2"/>
        <v>1789.2343999999998</v>
      </c>
      <c r="AR38" s="58">
        <f t="shared" si="2"/>
        <v>1737.1595000000002</v>
      </c>
      <c r="AS38" s="58">
        <f t="shared" si="2"/>
        <v>21310.45665</v>
      </c>
      <c r="AT38" s="58">
        <f t="shared" si="2"/>
        <v>9205.1855000000014</v>
      </c>
      <c r="AU38" s="58">
        <f t="shared" si="2"/>
        <v>162186.56659</v>
      </c>
    </row>
    <row r="39" spans="1:47" ht="17.25" customHeight="1" x14ac:dyDescent="0.2">
      <c r="A39" s="60" t="s">
        <v>242</v>
      </c>
      <c r="B39" s="83"/>
      <c r="C39" s="83"/>
      <c r="D39" s="83"/>
      <c r="E39" s="83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</row>
    <row r="40" spans="1:47" ht="17.25" customHeight="1" x14ac:dyDescent="0.2">
      <c r="A40" s="60" t="s">
        <v>239</v>
      </c>
      <c r="B40" s="83"/>
      <c r="C40" s="83"/>
      <c r="D40" s="83"/>
      <c r="E40" s="83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</row>
    <row r="41" spans="1:47" ht="51.75" customHeight="1" x14ac:dyDescent="0.2">
      <c r="A41" s="89" t="s">
        <v>231</v>
      </c>
    </row>
  </sheetData>
  <mergeCells count="23">
    <mergeCell ref="R1:S1"/>
    <mergeCell ref="T1:U1"/>
    <mergeCell ref="Z1:AA1"/>
    <mergeCell ref="AB1:AC1"/>
    <mergeCell ref="V1:W1"/>
    <mergeCell ref="X1:Y1"/>
    <mergeCell ref="AD1:AE1"/>
    <mergeCell ref="AF1:AG1"/>
    <mergeCell ref="AT1:AU1"/>
    <mergeCell ref="AH1:AI1"/>
    <mergeCell ref="AJ1:AK1"/>
    <mergeCell ref="AL1:AM1"/>
    <mergeCell ref="AN1:AO1"/>
    <mergeCell ref="AP1:AQ1"/>
    <mergeCell ref="AR1:AS1"/>
    <mergeCell ref="J1:K1"/>
    <mergeCell ref="L1:M1"/>
    <mergeCell ref="N1:O1"/>
    <mergeCell ref="P1:Q1"/>
    <mergeCell ref="B1:C1"/>
    <mergeCell ref="D1:E1"/>
    <mergeCell ref="F1:G1"/>
    <mergeCell ref="H1:I1"/>
  </mergeCells>
  <phoneticPr fontId="24" type="noConversion"/>
  <printOptions horizontalCentered="1" verticalCentered="1"/>
  <pageMargins left="0.4" right="0.5" top="0.5" bottom="0.25" header="0.5" footer="0.25"/>
  <pageSetup scale="75" orientation="landscape" r:id="rId1"/>
  <headerFooter alignWithMargins="0">
    <oddHeader xml:space="preserve">&amp;L&amp;P&amp;C&amp;"Arial,Bold"&amp;12&amp;UArea and Production of Vegetables Crops 2012-13 (Final)&amp;R&amp;"Arial,Bold"&amp;8Area in  '  000 Ha 
Production in '000  MT </oddHeader>
  </headerFooter>
  <colBreaks count="2" manualBreakCount="2">
    <brk id="17" max="1048575" man="1"/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H52" sqref="H52"/>
    </sheetView>
  </sheetViews>
  <sheetFormatPr defaultRowHeight="12.75" x14ac:dyDescent="0.2"/>
  <cols>
    <col min="1" max="1" width="22.42578125" style="67" customWidth="1"/>
    <col min="2" max="8" width="9.42578125" style="67" bestFit="1" customWidth="1"/>
    <col min="9" max="9" width="9.5703125" style="67" bestFit="1" customWidth="1"/>
    <col min="10" max="10" width="11.28515625" style="67" bestFit="1" customWidth="1"/>
    <col min="11" max="11" width="12.85546875" style="67" bestFit="1" customWidth="1"/>
    <col min="12" max="16384" width="9.140625" style="67"/>
  </cols>
  <sheetData>
    <row r="1" spans="1:11" ht="17.25" customHeight="1" x14ac:dyDescent="0.2">
      <c r="A1" s="55" t="s">
        <v>97</v>
      </c>
      <c r="B1" s="116" t="s">
        <v>130</v>
      </c>
      <c r="C1" s="116"/>
      <c r="D1" s="105" t="s">
        <v>131</v>
      </c>
      <c r="E1" s="105"/>
      <c r="F1" s="105" t="s">
        <v>132</v>
      </c>
      <c r="G1" s="105"/>
      <c r="H1" s="105" t="s">
        <v>133</v>
      </c>
      <c r="I1" s="105"/>
      <c r="J1" s="105" t="s">
        <v>9</v>
      </c>
      <c r="K1" s="105"/>
    </row>
    <row r="2" spans="1:11" x14ac:dyDescent="0.2">
      <c r="A2" s="26"/>
      <c r="B2" s="55" t="s">
        <v>49</v>
      </c>
      <c r="C2" s="55" t="s">
        <v>10</v>
      </c>
      <c r="D2" s="55" t="s">
        <v>49</v>
      </c>
      <c r="E2" s="55" t="s">
        <v>10</v>
      </c>
      <c r="F2" s="55" t="s">
        <v>49</v>
      </c>
      <c r="G2" s="55" t="s">
        <v>10</v>
      </c>
      <c r="H2" s="55" t="s">
        <v>49</v>
      </c>
      <c r="I2" s="55" t="s">
        <v>10</v>
      </c>
      <c r="J2" s="55" t="s">
        <v>49</v>
      </c>
      <c r="K2" s="55" t="s">
        <v>10</v>
      </c>
    </row>
    <row r="3" spans="1:11" x14ac:dyDescent="0.2">
      <c r="A3" s="27" t="s">
        <v>11</v>
      </c>
      <c r="B3" s="43">
        <v>4.2300000000000004</v>
      </c>
      <c r="C3" s="43">
        <v>5.88</v>
      </c>
      <c r="D3" s="43">
        <v>1.2</v>
      </c>
      <c r="E3" s="43">
        <v>0.38</v>
      </c>
      <c r="F3" s="43"/>
      <c r="G3" s="43"/>
      <c r="H3" s="43">
        <v>21.88</v>
      </c>
      <c r="I3" s="43">
        <v>89.45</v>
      </c>
      <c r="J3" s="44">
        <f>B3+D3+F3+H3</f>
        <v>27.31</v>
      </c>
      <c r="K3" s="44">
        <f>C3+E3+G3+I3</f>
        <v>95.710000000000008</v>
      </c>
    </row>
    <row r="4" spans="1:11" x14ac:dyDescent="0.2">
      <c r="A4" s="27" t="s">
        <v>12</v>
      </c>
      <c r="B4" s="43">
        <v>0.57999999999999996</v>
      </c>
      <c r="C4" s="43">
        <v>0.27</v>
      </c>
      <c r="D4" s="43">
        <v>183.95</v>
      </c>
      <c r="E4" s="43">
        <v>118.14</v>
      </c>
      <c r="F4" s="43">
        <v>20.71</v>
      </c>
      <c r="G4" s="43">
        <v>4.16</v>
      </c>
      <c r="H4" s="43">
        <v>128.89699999999999</v>
      </c>
      <c r="I4" s="43">
        <v>1330.4</v>
      </c>
      <c r="J4" s="44">
        <f t="shared" ref="J4:J36" si="0">B4+D4+F4+H4</f>
        <v>334.137</v>
      </c>
      <c r="K4" s="44">
        <f t="shared" ref="K4:K36" si="1">C4+E4+G4+I4</f>
        <v>1452.97</v>
      </c>
    </row>
    <row r="5" spans="1:11" ht="13.5" customHeight="1" x14ac:dyDescent="0.2">
      <c r="A5" s="30" t="s">
        <v>13</v>
      </c>
      <c r="B5" s="43"/>
      <c r="C5" s="43"/>
      <c r="D5" s="43"/>
      <c r="E5" s="43"/>
      <c r="F5" s="43"/>
      <c r="G5" s="43"/>
      <c r="H5" s="43"/>
      <c r="I5" s="43"/>
      <c r="J5" s="44">
        <f t="shared" si="0"/>
        <v>0</v>
      </c>
      <c r="K5" s="44">
        <f t="shared" si="1"/>
        <v>0</v>
      </c>
    </row>
    <row r="6" spans="1:11" x14ac:dyDescent="0.2">
      <c r="A6" s="27" t="s">
        <v>14</v>
      </c>
      <c r="B6" s="43">
        <v>75.06</v>
      </c>
      <c r="C6" s="43">
        <v>72.58</v>
      </c>
      <c r="D6" s="43">
        <v>0.9</v>
      </c>
      <c r="E6" s="43">
        <v>0.52</v>
      </c>
      <c r="F6" s="43"/>
      <c r="G6" s="43"/>
      <c r="H6" s="43">
        <v>22.154</v>
      </c>
      <c r="I6" s="43">
        <v>110.259</v>
      </c>
      <c r="J6" s="44">
        <f t="shared" si="0"/>
        <v>98.114000000000004</v>
      </c>
      <c r="K6" s="44">
        <f t="shared" si="1"/>
        <v>183.35899999999998</v>
      </c>
    </row>
    <row r="7" spans="1:11" x14ac:dyDescent="0.2">
      <c r="A7" s="27" t="s">
        <v>15</v>
      </c>
      <c r="B7" s="43"/>
      <c r="C7" s="43"/>
      <c r="D7" s="43"/>
      <c r="E7" s="43"/>
      <c r="F7" s="43"/>
      <c r="G7" s="43"/>
      <c r="H7" s="43">
        <v>15.246</v>
      </c>
      <c r="I7" s="43">
        <v>97.135000000000005</v>
      </c>
      <c r="J7" s="44">
        <f t="shared" si="0"/>
        <v>15.246</v>
      </c>
      <c r="K7" s="44">
        <f t="shared" si="1"/>
        <v>97.135000000000005</v>
      </c>
    </row>
    <row r="8" spans="1:11" x14ac:dyDescent="0.2">
      <c r="A8" s="27" t="s">
        <v>57</v>
      </c>
      <c r="B8" s="43"/>
      <c r="C8" s="43"/>
      <c r="D8" s="43">
        <v>13.5</v>
      </c>
      <c r="E8" s="43">
        <v>9.6</v>
      </c>
      <c r="F8" s="43"/>
      <c r="G8" s="43"/>
      <c r="H8" s="43">
        <v>1.41</v>
      </c>
      <c r="I8" s="43">
        <v>7.87</v>
      </c>
      <c r="J8" s="44">
        <f t="shared" si="0"/>
        <v>14.91</v>
      </c>
      <c r="K8" s="44">
        <f t="shared" si="1"/>
        <v>17.47</v>
      </c>
    </row>
    <row r="9" spans="1:11" x14ac:dyDescent="0.2">
      <c r="A9" s="27" t="s">
        <v>16</v>
      </c>
      <c r="B9" s="43"/>
      <c r="C9" s="43"/>
      <c r="D9" s="43"/>
      <c r="E9" s="43"/>
      <c r="F9" s="43"/>
      <c r="G9" s="43"/>
      <c r="H9" s="43"/>
      <c r="I9" s="43"/>
      <c r="J9" s="44">
        <f t="shared" si="0"/>
        <v>0</v>
      </c>
      <c r="K9" s="44">
        <f t="shared" si="1"/>
        <v>0</v>
      </c>
    </row>
    <row r="10" spans="1:11" x14ac:dyDescent="0.2">
      <c r="A10" s="27" t="s">
        <v>17</v>
      </c>
      <c r="B10" s="43"/>
      <c r="C10" s="43"/>
      <c r="D10" s="43"/>
      <c r="E10" s="43"/>
      <c r="F10" s="43"/>
      <c r="G10" s="43"/>
      <c r="H10" s="43"/>
      <c r="I10" s="43"/>
      <c r="J10" s="44">
        <f t="shared" si="0"/>
        <v>0</v>
      </c>
      <c r="K10" s="44">
        <f t="shared" si="1"/>
        <v>0</v>
      </c>
    </row>
    <row r="11" spans="1:11" x14ac:dyDescent="0.2">
      <c r="A11" s="27" t="s">
        <v>18</v>
      </c>
      <c r="B11" s="43"/>
      <c r="C11" s="43"/>
      <c r="D11" s="43"/>
      <c r="E11" s="43"/>
      <c r="F11" s="43"/>
      <c r="G11" s="43"/>
      <c r="H11" s="43"/>
      <c r="I11" s="43"/>
      <c r="J11" s="44">
        <f t="shared" si="0"/>
        <v>0</v>
      </c>
      <c r="K11" s="44">
        <f t="shared" si="1"/>
        <v>0</v>
      </c>
    </row>
    <row r="12" spans="1:11" x14ac:dyDescent="0.2">
      <c r="A12" s="27" t="s">
        <v>19</v>
      </c>
      <c r="B12" s="43">
        <v>1.73</v>
      </c>
      <c r="C12" s="43">
        <v>2.87</v>
      </c>
      <c r="D12" s="43">
        <v>57.47</v>
      </c>
      <c r="E12" s="43">
        <v>29.95</v>
      </c>
      <c r="F12" s="43"/>
      <c r="G12" s="43"/>
      <c r="H12" s="43">
        <v>25.712</v>
      </c>
      <c r="I12" s="43">
        <v>84.444999999999993</v>
      </c>
      <c r="J12" s="44">
        <f t="shared" si="0"/>
        <v>84.911999999999992</v>
      </c>
      <c r="K12" s="44">
        <f t="shared" si="1"/>
        <v>117.26499999999999</v>
      </c>
    </row>
    <row r="13" spans="1:11" x14ac:dyDescent="0.2">
      <c r="A13" s="27" t="s">
        <v>20</v>
      </c>
      <c r="B13" s="43"/>
      <c r="C13" s="43"/>
      <c r="D13" s="43">
        <v>7.97</v>
      </c>
      <c r="E13" s="43">
        <v>24.52</v>
      </c>
      <c r="F13" s="43"/>
      <c r="G13" s="43"/>
      <c r="H13" s="43">
        <v>21.12</v>
      </c>
      <c r="I13" s="43">
        <v>221.88</v>
      </c>
      <c r="J13" s="44">
        <f t="shared" si="0"/>
        <v>29.09</v>
      </c>
      <c r="K13" s="44">
        <f t="shared" si="1"/>
        <v>246.4</v>
      </c>
    </row>
    <row r="14" spans="1:11" x14ac:dyDescent="0.2">
      <c r="A14" s="27" t="s">
        <v>21</v>
      </c>
      <c r="B14" s="43"/>
      <c r="C14" s="43"/>
      <c r="D14" s="43"/>
      <c r="E14" s="43"/>
      <c r="F14" s="43"/>
      <c r="G14" s="43"/>
      <c r="H14" s="43"/>
      <c r="I14" s="43"/>
      <c r="J14" s="44">
        <f t="shared" si="0"/>
        <v>0</v>
      </c>
      <c r="K14" s="44">
        <f t="shared" si="1"/>
        <v>0</v>
      </c>
    </row>
    <row r="15" spans="1:11" x14ac:dyDescent="0.2">
      <c r="A15" s="27" t="s">
        <v>22</v>
      </c>
      <c r="B15" s="43"/>
      <c r="C15" s="43"/>
      <c r="D15" s="43"/>
      <c r="E15" s="43"/>
      <c r="F15" s="43"/>
      <c r="G15" s="43"/>
      <c r="H15" s="43"/>
      <c r="I15" s="43"/>
      <c r="J15" s="44">
        <f t="shared" si="0"/>
        <v>0</v>
      </c>
      <c r="K15" s="44">
        <f t="shared" si="1"/>
        <v>0</v>
      </c>
    </row>
    <row r="16" spans="1:11" x14ac:dyDescent="0.2">
      <c r="A16" s="27" t="s">
        <v>23</v>
      </c>
      <c r="B16" s="43"/>
      <c r="C16" s="43"/>
      <c r="D16" s="43"/>
      <c r="E16" s="43"/>
      <c r="F16" s="43"/>
      <c r="G16" s="43"/>
      <c r="H16" s="43"/>
      <c r="I16" s="43"/>
      <c r="J16" s="44">
        <f t="shared" si="0"/>
        <v>0</v>
      </c>
      <c r="K16" s="44">
        <f t="shared" si="1"/>
        <v>0</v>
      </c>
    </row>
    <row r="17" spans="1:11" x14ac:dyDescent="0.2">
      <c r="A17" s="27" t="s">
        <v>24</v>
      </c>
      <c r="B17" s="43"/>
      <c r="C17" s="43"/>
      <c r="D17" s="28">
        <v>11.5</v>
      </c>
      <c r="E17" s="43">
        <v>4.6399999999999997</v>
      </c>
      <c r="F17" s="43"/>
      <c r="G17" s="43"/>
      <c r="H17" s="43"/>
      <c r="I17" s="43"/>
      <c r="J17" s="44">
        <f t="shared" si="0"/>
        <v>11.5</v>
      </c>
      <c r="K17" s="44">
        <f t="shared" si="1"/>
        <v>4.6399999999999997</v>
      </c>
    </row>
    <row r="18" spans="1:11" s="68" customFormat="1" x14ac:dyDescent="0.2">
      <c r="A18" s="27" t="s">
        <v>174</v>
      </c>
      <c r="B18" s="65">
        <v>221.37</v>
      </c>
      <c r="C18" s="65">
        <v>358.61</v>
      </c>
      <c r="D18" s="65">
        <v>122.11</v>
      </c>
      <c r="E18" s="65">
        <v>74.64</v>
      </c>
      <c r="F18" s="65">
        <v>10.882999999999999</v>
      </c>
      <c r="G18" s="65">
        <v>2.08</v>
      </c>
      <c r="H18" s="65">
        <v>513.1</v>
      </c>
      <c r="I18" s="65">
        <v>4169.8999999999996</v>
      </c>
      <c r="J18" s="44">
        <f t="shared" si="0"/>
        <v>867.46299999999997</v>
      </c>
      <c r="K18" s="44">
        <f t="shared" si="1"/>
        <v>4605.2299999999996</v>
      </c>
    </row>
    <row r="19" spans="1:11" x14ac:dyDescent="0.2">
      <c r="A19" s="27" t="s">
        <v>26</v>
      </c>
      <c r="B19" s="65">
        <v>96.6</v>
      </c>
      <c r="C19" s="65">
        <v>96.3</v>
      </c>
      <c r="D19" s="65">
        <v>84.88</v>
      </c>
      <c r="E19" s="65">
        <v>76.959999999999994</v>
      </c>
      <c r="F19" s="65">
        <v>12.483000000000001</v>
      </c>
      <c r="G19" s="65">
        <v>6.1360000000000001</v>
      </c>
      <c r="H19" s="65">
        <v>798.16200000000003</v>
      </c>
      <c r="I19" s="65">
        <v>3990.39</v>
      </c>
      <c r="J19" s="44">
        <f t="shared" si="0"/>
        <v>992.125</v>
      </c>
      <c r="K19" s="44">
        <f t="shared" si="1"/>
        <v>4169.7860000000001</v>
      </c>
    </row>
    <row r="20" spans="1:11" ht="15" customHeight="1" x14ac:dyDescent="0.2">
      <c r="A20" s="27" t="s">
        <v>58</v>
      </c>
      <c r="B20" s="65"/>
      <c r="C20" s="65"/>
      <c r="D20" s="65"/>
      <c r="E20" s="65"/>
      <c r="F20" s="65"/>
      <c r="G20" s="65"/>
      <c r="H20" s="65">
        <v>2.57</v>
      </c>
      <c r="I20" s="65">
        <v>48.8</v>
      </c>
      <c r="J20" s="44">
        <f t="shared" si="0"/>
        <v>2.57</v>
      </c>
      <c r="K20" s="44">
        <f t="shared" si="1"/>
        <v>48.8</v>
      </c>
    </row>
    <row r="21" spans="1:11" x14ac:dyDescent="0.2">
      <c r="A21" s="27" t="s">
        <v>27</v>
      </c>
      <c r="B21" s="65"/>
      <c r="C21" s="65"/>
      <c r="D21" s="65"/>
      <c r="E21" s="65"/>
      <c r="F21" s="65"/>
      <c r="G21" s="65"/>
      <c r="H21" s="65"/>
      <c r="I21" s="65"/>
      <c r="J21" s="44">
        <f t="shared" si="0"/>
        <v>0</v>
      </c>
      <c r="K21" s="44">
        <f t="shared" si="1"/>
        <v>0</v>
      </c>
    </row>
    <row r="22" spans="1:11" x14ac:dyDescent="0.2">
      <c r="A22" s="27" t="s">
        <v>28</v>
      </c>
      <c r="B22" s="65">
        <v>2.2000000000000002</v>
      </c>
      <c r="C22" s="65">
        <v>3.58</v>
      </c>
      <c r="D22" s="65">
        <v>184.2</v>
      </c>
      <c r="E22" s="65">
        <v>224.64</v>
      </c>
      <c r="F22" s="65"/>
      <c r="G22" s="65"/>
      <c r="H22" s="65">
        <v>28.082000000000001</v>
      </c>
      <c r="I22" s="65">
        <v>129.02000000000001</v>
      </c>
      <c r="J22" s="44">
        <f t="shared" si="0"/>
        <v>214.48199999999997</v>
      </c>
      <c r="K22" s="44">
        <f t="shared" si="1"/>
        <v>357.24</v>
      </c>
    </row>
    <row r="23" spans="1:11" x14ac:dyDescent="0.2">
      <c r="A23" s="31" t="s">
        <v>29</v>
      </c>
      <c r="B23" s="65"/>
      <c r="C23" s="65"/>
      <c r="D23" s="65"/>
      <c r="E23" s="65"/>
      <c r="F23" s="65"/>
      <c r="G23" s="65"/>
      <c r="H23" s="69"/>
      <c r="I23" s="65"/>
      <c r="J23" s="44">
        <f t="shared" si="0"/>
        <v>0</v>
      </c>
      <c r="K23" s="44">
        <f t="shared" si="1"/>
        <v>0</v>
      </c>
    </row>
    <row r="24" spans="1:11" x14ac:dyDescent="0.2">
      <c r="A24" s="27" t="s">
        <v>30</v>
      </c>
      <c r="B24" s="43">
        <v>14.62</v>
      </c>
      <c r="C24" s="43">
        <v>19.829999999999998</v>
      </c>
      <c r="D24" s="43">
        <v>8.5</v>
      </c>
      <c r="E24" s="43">
        <v>9.36</v>
      </c>
      <c r="F24" s="43"/>
      <c r="G24" s="43"/>
      <c r="H24" s="43"/>
      <c r="I24" s="43"/>
      <c r="J24" s="44">
        <f t="shared" si="0"/>
        <v>23.119999999999997</v>
      </c>
      <c r="K24" s="44">
        <f t="shared" si="1"/>
        <v>29.189999999999998</v>
      </c>
    </row>
    <row r="25" spans="1:11" x14ac:dyDescent="0.2">
      <c r="A25" s="27" t="s">
        <v>31</v>
      </c>
      <c r="B25" s="43">
        <v>7.57</v>
      </c>
      <c r="C25" s="43">
        <v>4.32</v>
      </c>
      <c r="D25" s="43"/>
      <c r="E25" s="43"/>
      <c r="F25" s="43"/>
      <c r="G25" s="43"/>
      <c r="H25" s="43">
        <v>0.02</v>
      </c>
      <c r="I25" s="43">
        <v>0.06</v>
      </c>
      <c r="J25" s="44">
        <f t="shared" si="0"/>
        <v>7.59</v>
      </c>
      <c r="K25" s="44">
        <f t="shared" si="1"/>
        <v>4.38</v>
      </c>
    </row>
    <row r="26" spans="1:11" x14ac:dyDescent="0.2">
      <c r="A26" s="30" t="s">
        <v>32</v>
      </c>
      <c r="B26" s="65">
        <v>0.22</v>
      </c>
      <c r="C26" s="65">
        <v>0.12</v>
      </c>
      <c r="D26" s="65"/>
      <c r="E26" s="65"/>
      <c r="F26" s="65"/>
      <c r="G26" s="65"/>
      <c r="H26" s="65">
        <v>1.3</v>
      </c>
      <c r="I26" s="65">
        <v>10.4</v>
      </c>
      <c r="J26" s="44">
        <f t="shared" si="0"/>
        <v>1.52</v>
      </c>
      <c r="K26" s="44">
        <f t="shared" si="1"/>
        <v>10.52</v>
      </c>
    </row>
    <row r="27" spans="1:11" x14ac:dyDescent="0.2">
      <c r="A27" s="27" t="s">
        <v>209</v>
      </c>
      <c r="B27" s="65"/>
      <c r="C27" s="65"/>
      <c r="D27" s="65">
        <v>163.91</v>
      </c>
      <c r="E27" s="65">
        <v>100.84</v>
      </c>
      <c r="F27" s="65"/>
      <c r="G27" s="65"/>
      <c r="H27" s="65">
        <v>54.29</v>
      </c>
      <c r="I27" s="65">
        <v>262.17</v>
      </c>
      <c r="J27" s="44">
        <f t="shared" si="0"/>
        <v>218.2</v>
      </c>
      <c r="K27" s="44">
        <f t="shared" si="1"/>
        <v>363.01</v>
      </c>
    </row>
    <row r="28" spans="1:11" x14ac:dyDescent="0.2">
      <c r="A28" s="30" t="s">
        <v>181</v>
      </c>
      <c r="B28" s="65">
        <v>0.06</v>
      </c>
      <c r="C28" s="65">
        <v>0.08</v>
      </c>
      <c r="D28" s="65"/>
      <c r="E28" s="65"/>
      <c r="F28" s="65"/>
      <c r="G28" s="65"/>
      <c r="H28" s="65">
        <v>1.952</v>
      </c>
      <c r="I28" s="65">
        <v>23.18</v>
      </c>
      <c r="J28" s="44">
        <f t="shared" si="0"/>
        <v>2.012</v>
      </c>
      <c r="K28" s="44">
        <f t="shared" si="1"/>
        <v>23.259999999999998</v>
      </c>
    </row>
    <row r="29" spans="1:11" x14ac:dyDescent="0.2">
      <c r="A29" s="27" t="s">
        <v>33</v>
      </c>
      <c r="B29" s="65"/>
      <c r="C29" s="65"/>
      <c r="D29" s="65"/>
      <c r="E29" s="65"/>
      <c r="F29" s="65"/>
      <c r="G29" s="65"/>
      <c r="H29" s="65"/>
      <c r="I29" s="65"/>
      <c r="J29" s="44">
        <f t="shared" si="0"/>
        <v>0</v>
      </c>
      <c r="K29" s="44">
        <f t="shared" si="1"/>
        <v>0</v>
      </c>
    </row>
    <row r="30" spans="1:11" x14ac:dyDescent="0.2">
      <c r="A30" s="27" t="s">
        <v>34</v>
      </c>
      <c r="B30" s="65"/>
      <c r="C30" s="65"/>
      <c r="D30" s="65"/>
      <c r="E30" s="65"/>
      <c r="F30" s="65"/>
      <c r="G30" s="65"/>
      <c r="H30" s="65"/>
      <c r="I30" s="65"/>
      <c r="J30" s="44">
        <f t="shared" si="0"/>
        <v>0</v>
      </c>
      <c r="K30" s="44">
        <f t="shared" si="1"/>
        <v>0</v>
      </c>
    </row>
    <row r="31" spans="1:11" x14ac:dyDescent="0.2">
      <c r="A31" s="27" t="s">
        <v>35</v>
      </c>
      <c r="B31" s="65"/>
      <c r="C31" s="65"/>
      <c r="D31" s="65"/>
      <c r="E31" s="65"/>
      <c r="F31" s="65"/>
      <c r="G31" s="65"/>
      <c r="H31" s="65"/>
      <c r="I31" s="65"/>
      <c r="J31" s="44">
        <f t="shared" si="0"/>
        <v>0</v>
      </c>
      <c r="K31" s="44">
        <f t="shared" si="1"/>
        <v>0</v>
      </c>
    </row>
    <row r="32" spans="1:11" x14ac:dyDescent="0.2">
      <c r="A32" s="27" t="s">
        <v>228</v>
      </c>
      <c r="B32" s="43">
        <v>6.06</v>
      </c>
      <c r="C32" s="43">
        <v>13.2</v>
      </c>
      <c r="D32" s="43">
        <v>136.41999999999999</v>
      </c>
      <c r="E32" s="43">
        <v>62.4</v>
      </c>
      <c r="F32" s="70">
        <v>22.388999999999999</v>
      </c>
      <c r="G32" s="70">
        <v>1.04</v>
      </c>
      <c r="H32" s="43">
        <v>465.108</v>
      </c>
      <c r="I32" s="43">
        <v>4760.67</v>
      </c>
      <c r="J32" s="44">
        <f t="shared" si="0"/>
        <v>629.97699999999998</v>
      </c>
      <c r="K32" s="44">
        <f t="shared" si="1"/>
        <v>4837.3100000000004</v>
      </c>
    </row>
    <row r="33" spans="1:11" x14ac:dyDescent="0.2">
      <c r="A33" s="27" t="s">
        <v>37</v>
      </c>
      <c r="B33" s="65">
        <v>4.7</v>
      </c>
      <c r="C33" s="65">
        <v>9.92</v>
      </c>
      <c r="D33" s="65">
        <v>4.0999999999999996</v>
      </c>
      <c r="E33" s="65">
        <v>4.72</v>
      </c>
      <c r="F33" s="65"/>
      <c r="G33" s="65"/>
      <c r="H33" s="65">
        <v>6.47</v>
      </c>
      <c r="I33" s="65">
        <v>18.89</v>
      </c>
      <c r="J33" s="44">
        <f t="shared" si="0"/>
        <v>15.27</v>
      </c>
      <c r="K33" s="44">
        <f t="shared" si="1"/>
        <v>33.53</v>
      </c>
    </row>
    <row r="34" spans="1:11" x14ac:dyDescent="0.2">
      <c r="A34" s="27" t="s">
        <v>38</v>
      </c>
      <c r="B34" s="65"/>
      <c r="C34" s="65"/>
      <c r="D34" s="65"/>
      <c r="E34" s="65"/>
      <c r="F34" s="65"/>
      <c r="G34" s="65"/>
      <c r="H34" s="65"/>
      <c r="I34" s="65"/>
      <c r="J34" s="44">
        <f t="shared" si="0"/>
        <v>0</v>
      </c>
      <c r="K34" s="44">
        <f t="shared" si="1"/>
        <v>0</v>
      </c>
    </row>
    <row r="35" spans="1:11" x14ac:dyDescent="0.2">
      <c r="A35" s="27" t="s">
        <v>98</v>
      </c>
      <c r="B35" s="65"/>
      <c r="C35" s="65"/>
      <c r="D35" s="65"/>
      <c r="E35" s="65"/>
      <c r="F35" s="65"/>
      <c r="G35" s="65"/>
      <c r="H35" s="65"/>
      <c r="I35" s="65"/>
      <c r="J35" s="44">
        <f t="shared" si="0"/>
        <v>0</v>
      </c>
      <c r="K35" s="44">
        <f t="shared" si="1"/>
        <v>0</v>
      </c>
    </row>
    <row r="36" spans="1:11" x14ac:dyDescent="0.2">
      <c r="A36" s="27" t="s">
        <v>40</v>
      </c>
      <c r="B36" s="43">
        <v>11.39</v>
      </c>
      <c r="C36" s="43">
        <v>21.16</v>
      </c>
      <c r="D36" s="43">
        <v>11</v>
      </c>
      <c r="E36" s="43">
        <v>12.06</v>
      </c>
      <c r="F36" s="43"/>
      <c r="G36" s="43"/>
      <c r="H36" s="43">
        <v>29.2</v>
      </c>
      <c r="I36" s="43">
        <v>254.17</v>
      </c>
      <c r="J36" s="44">
        <f t="shared" si="0"/>
        <v>51.59</v>
      </c>
      <c r="K36" s="44">
        <f t="shared" si="1"/>
        <v>287.39</v>
      </c>
    </row>
    <row r="37" spans="1:11" x14ac:dyDescent="0.2">
      <c r="A37" s="27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27" t="s">
        <v>9</v>
      </c>
      <c r="B38" s="44">
        <f>SUM(B3:B37)</f>
        <v>446.39000000000004</v>
      </c>
      <c r="C38" s="44">
        <f t="shared" ref="C38:K38" si="2">SUM(C3:C37)</f>
        <v>608.72000000000014</v>
      </c>
      <c r="D38" s="44">
        <f t="shared" si="2"/>
        <v>991.61</v>
      </c>
      <c r="E38" s="44">
        <f t="shared" si="2"/>
        <v>753.37</v>
      </c>
      <c r="F38" s="44">
        <f t="shared" si="2"/>
        <v>66.465000000000003</v>
      </c>
      <c r="G38" s="44">
        <f t="shared" si="2"/>
        <v>13.416</v>
      </c>
      <c r="H38" s="44">
        <f t="shared" si="2"/>
        <v>2136.6729999999998</v>
      </c>
      <c r="I38" s="44">
        <f t="shared" si="2"/>
        <v>15609.088999999998</v>
      </c>
      <c r="J38" s="44">
        <f t="shared" si="2"/>
        <v>3641.1379999999999</v>
      </c>
      <c r="K38" s="44">
        <f t="shared" si="2"/>
        <v>16984.594999999998</v>
      </c>
    </row>
    <row r="39" spans="1:11" x14ac:dyDescent="0.2">
      <c r="A39" s="60" t="s">
        <v>240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x14ac:dyDescent="0.2">
      <c r="A40" s="60" t="s">
        <v>239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x14ac:dyDescent="0.2">
      <c r="A41" s="71" t="s">
        <v>217</v>
      </c>
      <c r="B41" s="72"/>
      <c r="C41" s="72"/>
      <c r="D41" s="72"/>
      <c r="E41" s="72"/>
      <c r="F41" s="72"/>
      <c r="G41" s="72"/>
      <c r="H41" s="72"/>
      <c r="I41" s="72"/>
    </row>
    <row r="42" spans="1:11" x14ac:dyDescent="0.2">
      <c r="A42" s="115" t="s">
        <v>219</v>
      </c>
      <c r="B42" s="115"/>
      <c r="C42" s="115"/>
      <c r="D42" s="115"/>
      <c r="E42" s="115"/>
      <c r="F42" s="73"/>
      <c r="G42" s="73"/>
      <c r="H42" s="73"/>
      <c r="I42" s="73"/>
    </row>
    <row r="43" spans="1:11" x14ac:dyDescent="0.2">
      <c r="A43" s="74" t="s">
        <v>221</v>
      </c>
      <c r="B43" s="74"/>
      <c r="C43" s="74"/>
      <c r="D43" s="74"/>
      <c r="E43" s="74"/>
      <c r="F43" s="74"/>
      <c r="G43" s="74"/>
      <c r="H43" s="74"/>
      <c r="I43" s="74"/>
    </row>
    <row r="44" spans="1:11" x14ac:dyDescent="0.2">
      <c r="A44" s="73" t="s">
        <v>220</v>
      </c>
      <c r="B44" s="73"/>
      <c r="C44" s="73"/>
      <c r="D44" s="73"/>
      <c r="E44" s="73"/>
      <c r="F44" s="73"/>
      <c r="G44" s="73"/>
      <c r="H44" s="73"/>
      <c r="I44" s="73"/>
    </row>
    <row r="45" spans="1:11" x14ac:dyDescent="0.2">
      <c r="A45" s="73" t="s">
        <v>218</v>
      </c>
      <c r="B45" s="73"/>
      <c r="C45" s="73"/>
      <c r="D45" s="73"/>
      <c r="E45" s="73"/>
      <c r="F45" s="73"/>
      <c r="G45" s="73"/>
      <c r="H45" s="73"/>
      <c r="I45" s="73"/>
    </row>
    <row r="46" spans="1:11" x14ac:dyDescent="0.2">
      <c r="A46" s="79" t="s">
        <v>229</v>
      </c>
      <c r="B46" s="75"/>
      <c r="C46" s="75"/>
      <c r="D46" s="75"/>
      <c r="E46" s="75"/>
      <c r="F46" s="75"/>
      <c r="G46" s="75"/>
      <c r="H46" s="75"/>
      <c r="I46" s="75"/>
    </row>
  </sheetData>
  <mergeCells count="6">
    <mergeCell ref="A42:E42"/>
    <mergeCell ref="J1:K1"/>
    <mergeCell ref="B1:C1"/>
    <mergeCell ref="D1:E1"/>
    <mergeCell ref="F1:G1"/>
    <mergeCell ref="H1:I1"/>
  </mergeCells>
  <phoneticPr fontId="24" type="noConversion"/>
  <printOptions horizontalCentered="1" verticalCentered="1"/>
  <pageMargins left="0.25" right="0.25" top="0.25" bottom="0.25" header="0.25" footer="0.25"/>
  <pageSetup scale="90" orientation="landscape" r:id="rId1"/>
  <headerFooter alignWithMargins="0">
    <oddHeader>&amp;C&amp;"Arial,Bold"&amp;12&amp;XArea and Production of Plantation Crops 2012-13 (Final)&amp;R&amp;"Arial,Bold"&amp;8Area in '000 Ha
Production in '000 MT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F49" sqref="F49"/>
    </sheetView>
  </sheetViews>
  <sheetFormatPr defaultRowHeight="12.75" x14ac:dyDescent="0.2"/>
  <cols>
    <col min="1" max="1" width="21.85546875" style="25" customWidth="1"/>
    <col min="2" max="6" width="9.28515625" style="25" bestFit="1" customWidth="1"/>
    <col min="7" max="7" width="9.5703125" style="25" bestFit="1" customWidth="1"/>
    <col min="8" max="8" width="9.28515625" style="25" bestFit="1" customWidth="1"/>
    <col min="9" max="9" width="9.5703125" style="25" bestFit="1" customWidth="1"/>
    <col min="10" max="10" width="9.28515625" style="25" bestFit="1" customWidth="1"/>
    <col min="11" max="11" width="9.5703125" style="25" bestFit="1" customWidth="1"/>
    <col min="12" max="23" width="9.28515625" style="25" bestFit="1" customWidth="1"/>
    <col min="24" max="24" width="12.28515625" style="25" customWidth="1"/>
    <col min="25" max="25" width="10.42578125" style="25" customWidth="1"/>
    <col min="26" max="26" width="10.85546875" style="25" customWidth="1"/>
    <col min="27" max="27" width="9.7109375" style="25" customWidth="1"/>
    <col min="28" max="35" width="9.28515625" style="25" bestFit="1" customWidth="1"/>
    <col min="36" max="36" width="9.140625" style="25"/>
    <col min="37" max="37" width="10.7109375" style="25" customWidth="1"/>
    <col min="38" max="16384" width="9.140625" style="25"/>
  </cols>
  <sheetData>
    <row r="1" spans="1:37" ht="14.25" x14ac:dyDescent="0.2">
      <c r="A1" s="55" t="s">
        <v>97</v>
      </c>
      <c r="B1" s="117" t="s">
        <v>134</v>
      </c>
      <c r="C1" s="117"/>
      <c r="D1" s="117" t="s">
        <v>135</v>
      </c>
      <c r="E1" s="117"/>
      <c r="F1" s="117" t="s">
        <v>201</v>
      </c>
      <c r="G1" s="117"/>
      <c r="H1" s="117" t="s">
        <v>136</v>
      </c>
      <c r="I1" s="117"/>
      <c r="J1" s="117" t="s">
        <v>137</v>
      </c>
      <c r="K1" s="117"/>
      <c r="L1" s="117" t="s">
        <v>138</v>
      </c>
      <c r="M1" s="117"/>
      <c r="N1" s="117" t="s">
        <v>139</v>
      </c>
      <c r="O1" s="117"/>
      <c r="P1" s="117" t="s">
        <v>140</v>
      </c>
      <c r="Q1" s="117"/>
      <c r="R1" s="117" t="s">
        <v>141</v>
      </c>
      <c r="S1" s="117"/>
      <c r="T1" s="117" t="s">
        <v>202</v>
      </c>
      <c r="U1" s="117"/>
      <c r="V1" s="117" t="s">
        <v>142</v>
      </c>
      <c r="W1" s="117"/>
      <c r="X1" s="117" t="s">
        <v>203</v>
      </c>
      <c r="Y1" s="117"/>
      <c r="Z1" s="118" t="s">
        <v>204</v>
      </c>
      <c r="AA1" s="118"/>
      <c r="AB1" s="117" t="s">
        <v>143</v>
      </c>
      <c r="AC1" s="117"/>
      <c r="AD1" s="117" t="s">
        <v>144</v>
      </c>
      <c r="AE1" s="117"/>
      <c r="AF1" s="117" t="s">
        <v>145</v>
      </c>
      <c r="AG1" s="117"/>
      <c r="AH1" s="117" t="s">
        <v>205</v>
      </c>
      <c r="AI1" s="117"/>
      <c r="AJ1" s="117" t="s">
        <v>55</v>
      </c>
      <c r="AK1" s="117"/>
    </row>
    <row r="2" spans="1:37" ht="14.25" x14ac:dyDescent="0.2">
      <c r="A2" s="26"/>
      <c r="B2" s="54" t="s">
        <v>49</v>
      </c>
      <c r="C2" s="54" t="s">
        <v>10</v>
      </c>
      <c r="D2" s="54" t="s">
        <v>49</v>
      </c>
      <c r="E2" s="54" t="s">
        <v>10</v>
      </c>
      <c r="F2" s="54" t="s">
        <v>49</v>
      </c>
      <c r="G2" s="54" t="s">
        <v>10</v>
      </c>
      <c r="H2" s="54" t="s">
        <v>49</v>
      </c>
      <c r="I2" s="54" t="s">
        <v>10</v>
      </c>
      <c r="J2" s="54" t="s">
        <v>49</v>
      </c>
      <c r="K2" s="54" t="s">
        <v>10</v>
      </c>
      <c r="L2" s="54" t="s">
        <v>49</v>
      </c>
      <c r="M2" s="54" t="s">
        <v>10</v>
      </c>
      <c r="N2" s="54" t="s">
        <v>49</v>
      </c>
      <c r="O2" s="54" t="s">
        <v>10</v>
      </c>
      <c r="P2" s="54" t="s">
        <v>49</v>
      </c>
      <c r="Q2" s="54" t="s">
        <v>10</v>
      </c>
      <c r="R2" s="54" t="s">
        <v>49</v>
      </c>
      <c r="S2" s="54" t="s">
        <v>10</v>
      </c>
      <c r="T2" s="54" t="s">
        <v>49</v>
      </c>
      <c r="U2" s="54" t="s">
        <v>10</v>
      </c>
      <c r="V2" s="54" t="s">
        <v>49</v>
      </c>
      <c r="W2" s="54" t="s">
        <v>10</v>
      </c>
      <c r="X2" s="54" t="s">
        <v>49</v>
      </c>
      <c r="Y2" s="54" t="s">
        <v>10</v>
      </c>
      <c r="Z2" s="54" t="s">
        <v>49</v>
      </c>
      <c r="AA2" s="54" t="s">
        <v>10</v>
      </c>
      <c r="AB2" s="54" t="s">
        <v>49</v>
      </c>
      <c r="AC2" s="54" t="s">
        <v>10</v>
      </c>
      <c r="AD2" s="54" t="s">
        <v>49</v>
      </c>
      <c r="AE2" s="54" t="s">
        <v>10</v>
      </c>
      <c r="AF2" s="54" t="s">
        <v>49</v>
      </c>
      <c r="AG2" s="54" t="s">
        <v>10</v>
      </c>
      <c r="AH2" s="54" t="s">
        <v>49</v>
      </c>
      <c r="AI2" s="54" t="s">
        <v>10</v>
      </c>
      <c r="AJ2" s="54" t="s">
        <v>49</v>
      </c>
      <c r="AK2" s="54" t="s">
        <v>10</v>
      </c>
    </row>
    <row r="3" spans="1:37" x14ac:dyDescent="0.2">
      <c r="A3" s="27" t="s">
        <v>11</v>
      </c>
      <c r="B3" s="28">
        <v>0.6</v>
      </c>
      <c r="C3" s="28">
        <v>0.13</v>
      </c>
      <c r="D3" s="28">
        <v>0.215</v>
      </c>
      <c r="E3" s="28">
        <v>1.91</v>
      </c>
      <c r="F3" s="28">
        <v>0.4</v>
      </c>
      <c r="G3" s="28">
        <v>0.61</v>
      </c>
      <c r="H3" s="28">
        <v>0.08</v>
      </c>
      <c r="I3" s="28">
        <v>0.47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>
        <v>0.15</v>
      </c>
      <c r="AA3" s="28">
        <v>0.04</v>
      </c>
      <c r="AB3" s="28">
        <v>7.0000000000000007E-2</v>
      </c>
      <c r="AC3" s="28">
        <v>0.05</v>
      </c>
      <c r="AD3" s="28">
        <v>0.16</v>
      </c>
      <c r="AE3" s="28">
        <v>0.01</v>
      </c>
      <c r="AF3" s="28">
        <v>0.06</v>
      </c>
      <c r="AG3" s="28">
        <v>0.35</v>
      </c>
      <c r="AH3" s="28"/>
      <c r="AI3" s="28"/>
      <c r="AJ3" s="29">
        <f>B3+D3+F3+H3+J3+L3+N3+P3+R3+T3+V3+X3+Z3+AB3+AD3+AF3+AH3</f>
        <v>1.7349999999999999</v>
      </c>
      <c r="AK3" s="29">
        <f>C3+E3+G3+I3+K3+M3+O3+Q3+S3+U3+W3+Y3+AA3+AC3+AE3+AG3+AI3</f>
        <v>3.57</v>
      </c>
    </row>
    <row r="4" spans="1:37" ht="13.5" customHeight="1" x14ac:dyDescent="0.2">
      <c r="A4" s="27" t="s">
        <v>12</v>
      </c>
      <c r="B4" s="28">
        <v>0.01</v>
      </c>
      <c r="C4" s="28">
        <v>1E-4</v>
      </c>
      <c r="D4" s="28">
        <v>2.3199999999999998</v>
      </c>
      <c r="E4" s="28">
        <v>20</v>
      </c>
      <c r="F4" s="28">
        <v>210.02</v>
      </c>
      <c r="G4" s="28">
        <v>685.15</v>
      </c>
      <c r="H4" s="25">
        <v>67.78</v>
      </c>
      <c r="I4" s="25">
        <v>423.22</v>
      </c>
      <c r="J4" s="28">
        <v>0.4</v>
      </c>
      <c r="K4" s="28">
        <v>1E-3</v>
      </c>
      <c r="L4" s="28"/>
      <c r="M4" s="28"/>
      <c r="N4" s="28">
        <v>20.8</v>
      </c>
      <c r="O4" s="28">
        <v>26</v>
      </c>
      <c r="P4" s="28"/>
      <c r="Q4" s="28"/>
      <c r="R4" s="28"/>
      <c r="S4" s="28"/>
      <c r="T4" s="28"/>
      <c r="U4" s="28"/>
      <c r="V4" s="28">
        <v>5.08</v>
      </c>
      <c r="W4" s="28">
        <v>2.4</v>
      </c>
      <c r="X4" s="28"/>
      <c r="Y4" s="28"/>
      <c r="Z4" s="28"/>
      <c r="AA4" s="28"/>
      <c r="AB4" s="28"/>
      <c r="AC4" s="28"/>
      <c r="AD4" s="28"/>
      <c r="AE4" s="28"/>
      <c r="AF4" s="28">
        <v>6.2</v>
      </c>
      <c r="AG4" s="28">
        <v>30.9</v>
      </c>
      <c r="AH4" s="28">
        <v>0.01</v>
      </c>
      <c r="AI4" s="28">
        <v>0.01</v>
      </c>
      <c r="AJ4" s="29">
        <f t="shared" ref="AJ4:AJ32" si="0">B4+D4+F4+H4+J4+L4+N4+P4+R4+T4+V4+X4+Z4+AB4+AD4+AF4+AH4</f>
        <v>312.61999999999995</v>
      </c>
      <c r="AK4" s="29">
        <f t="shared" ref="AK4:AK34" si="1">C4+E4+G4+I4+K4+M4+O4+Q4+S4+U4+W4+Y4+AA4+AC4+AE4+AG4+AI4</f>
        <v>1187.6811000000002</v>
      </c>
    </row>
    <row r="5" spans="1:37" x14ac:dyDescent="0.2">
      <c r="A5" s="30" t="s">
        <v>13</v>
      </c>
      <c r="B5" s="28"/>
      <c r="C5" s="28"/>
      <c r="D5" s="28">
        <v>7</v>
      </c>
      <c r="E5" s="28">
        <v>57</v>
      </c>
      <c r="F5" s="28">
        <v>2.5</v>
      </c>
      <c r="G5" s="28">
        <v>4.4000000000000004</v>
      </c>
      <c r="H5" s="28">
        <v>0.64</v>
      </c>
      <c r="I5" s="28">
        <v>2.86</v>
      </c>
      <c r="J5" s="28">
        <v>0.03</v>
      </c>
      <c r="K5" s="28">
        <v>0.01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9">
        <f t="shared" si="0"/>
        <v>10.17</v>
      </c>
      <c r="AK5" s="29">
        <f t="shared" si="1"/>
        <v>64.27000000000001</v>
      </c>
    </row>
    <row r="6" spans="1:37" x14ac:dyDescent="0.2">
      <c r="A6" s="27" t="s">
        <v>14</v>
      </c>
      <c r="B6" s="28">
        <v>3.72</v>
      </c>
      <c r="C6" s="28">
        <v>1.99</v>
      </c>
      <c r="D6" s="28">
        <v>17.838999999999999</v>
      </c>
      <c r="E6" s="28">
        <v>136.83000000000001</v>
      </c>
      <c r="F6" s="28">
        <v>20.59</v>
      </c>
      <c r="G6" s="28">
        <v>15.96</v>
      </c>
      <c r="H6" s="28">
        <v>16.239999999999998</v>
      </c>
      <c r="I6" s="28">
        <v>15.43</v>
      </c>
      <c r="J6" s="28">
        <v>9.98</v>
      </c>
      <c r="K6" s="28">
        <v>67.790000000000006</v>
      </c>
      <c r="L6" s="28"/>
      <c r="M6" s="28"/>
      <c r="N6" s="28">
        <v>28.29</v>
      </c>
      <c r="O6" s="28">
        <v>49.5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>
        <f t="shared" si="0"/>
        <v>96.658999999999992</v>
      </c>
      <c r="AK6" s="29">
        <f t="shared" si="1"/>
        <v>287.50000000000006</v>
      </c>
    </row>
    <row r="7" spans="1:37" x14ac:dyDescent="0.2">
      <c r="A7" s="27" t="s">
        <v>15</v>
      </c>
      <c r="B7" s="28"/>
      <c r="C7" s="28"/>
      <c r="D7" s="28">
        <v>0.56000000000000005</v>
      </c>
      <c r="E7" s="28">
        <v>0.84</v>
      </c>
      <c r="F7" s="28">
        <v>2.9</v>
      </c>
      <c r="G7" s="28">
        <v>3</v>
      </c>
      <c r="H7" s="28">
        <v>3</v>
      </c>
      <c r="I7" s="28">
        <v>3</v>
      </c>
      <c r="J7" s="28">
        <v>4.25</v>
      </c>
      <c r="K7" s="28">
        <v>4</v>
      </c>
      <c r="L7" s="28"/>
      <c r="M7" s="28"/>
      <c r="N7" s="28">
        <v>2.2999999999999998</v>
      </c>
      <c r="O7" s="28">
        <v>1.7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>
        <f t="shared" si="0"/>
        <v>13.010000000000002</v>
      </c>
      <c r="AK7" s="29">
        <f t="shared" si="1"/>
        <v>12.54</v>
      </c>
    </row>
    <row r="8" spans="1:37" x14ac:dyDescent="0.2">
      <c r="A8" s="27" t="s">
        <v>57</v>
      </c>
      <c r="B8" s="28"/>
      <c r="C8" s="28"/>
      <c r="D8" s="28">
        <v>1.907</v>
      </c>
      <c r="E8" s="28">
        <v>2.3199999999999998</v>
      </c>
      <c r="F8" s="28">
        <v>5.46</v>
      </c>
      <c r="G8" s="28">
        <v>8.3000000000000007</v>
      </c>
      <c r="H8" s="28">
        <v>0.93</v>
      </c>
      <c r="I8" s="28">
        <v>0.82</v>
      </c>
      <c r="J8" s="28">
        <v>1.1499999999999999</v>
      </c>
      <c r="K8" s="28">
        <v>3.09</v>
      </c>
      <c r="L8" s="28"/>
      <c r="M8" s="28"/>
      <c r="N8" s="28">
        <v>2.86</v>
      </c>
      <c r="O8" s="28">
        <v>0.84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9">
        <f t="shared" si="0"/>
        <v>12.307</v>
      </c>
      <c r="AK8" s="29">
        <f t="shared" si="1"/>
        <v>15.370000000000001</v>
      </c>
    </row>
    <row r="9" spans="1:37" x14ac:dyDescent="0.2">
      <c r="A9" s="27" t="s">
        <v>19</v>
      </c>
      <c r="B9" s="28">
        <v>0.73</v>
      </c>
      <c r="C9" s="28">
        <v>0.23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>
        <f t="shared" si="0"/>
        <v>0.73</v>
      </c>
      <c r="AK9" s="29">
        <f t="shared" si="1"/>
        <v>0.23</v>
      </c>
    </row>
    <row r="10" spans="1:37" x14ac:dyDescent="0.2">
      <c r="A10" s="27" t="s">
        <v>20</v>
      </c>
      <c r="B10" s="28"/>
      <c r="C10" s="28"/>
      <c r="D10" s="28">
        <v>4.3949999999999996</v>
      </c>
      <c r="E10" s="28">
        <v>70.650000000000006</v>
      </c>
      <c r="F10" s="28">
        <v>43.4</v>
      </c>
      <c r="G10" s="28">
        <v>68.53</v>
      </c>
      <c r="H10" s="28">
        <v>2.98</v>
      </c>
      <c r="I10" s="28">
        <v>50.49</v>
      </c>
      <c r="J10" s="28">
        <v>39.200000000000003</v>
      </c>
      <c r="K10" s="28">
        <v>277.45999999999998</v>
      </c>
      <c r="L10" s="28"/>
      <c r="M10" s="28"/>
      <c r="N10" s="28">
        <v>20.57</v>
      </c>
      <c r="O10" s="28">
        <v>32.31</v>
      </c>
      <c r="P10" s="28">
        <v>373.9</v>
      </c>
      <c r="Q10" s="28">
        <v>283.3</v>
      </c>
      <c r="R10" s="28">
        <v>39.5</v>
      </c>
      <c r="S10" s="28">
        <v>57.94</v>
      </c>
      <c r="T10" s="28">
        <v>5.26</v>
      </c>
      <c r="U10" s="28">
        <v>13.96</v>
      </c>
      <c r="V10" s="28">
        <v>5.87</v>
      </c>
      <c r="W10" s="28">
        <v>6.37</v>
      </c>
      <c r="X10" s="28">
        <v>16.600000000000001</v>
      </c>
      <c r="Y10" s="28">
        <v>21.13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>
        <f t="shared" si="0"/>
        <v>551.67499999999995</v>
      </c>
      <c r="AK10" s="29">
        <f t="shared" si="1"/>
        <v>882.1400000000001</v>
      </c>
    </row>
    <row r="11" spans="1:37" x14ac:dyDescent="0.2">
      <c r="A11" s="27" t="s">
        <v>21</v>
      </c>
      <c r="B11" s="28"/>
      <c r="C11" s="28"/>
      <c r="D11" s="28">
        <v>0.44500000000000001</v>
      </c>
      <c r="E11" s="28">
        <v>5.65</v>
      </c>
      <c r="F11" s="28">
        <v>2.4300000000000002</v>
      </c>
      <c r="G11" s="28">
        <v>4.22</v>
      </c>
      <c r="H11" s="28">
        <v>1.33</v>
      </c>
      <c r="I11" s="28">
        <v>23.84</v>
      </c>
      <c r="J11" s="28">
        <v>4.4400000000000004</v>
      </c>
      <c r="K11" s="28">
        <v>35.83</v>
      </c>
      <c r="L11" s="28"/>
      <c r="M11" s="28"/>
      <c r="N11" s="28">
        <v>2.4300000000000002</v>
      </c>
      <c r="O11" s="28">
        <v>4.41</v>
      </c>
      <c r="P11" s="28"/>
      <c r="Q11" s="28"/>
      <c r="R11" s="28">
        <v>0.27</v>
      </c>
      <c r="S11" s="28">
        <v>0.17</v>
      </c>
      <c r="T11" s="28">
        <v>4.78</v>
      </c>
      <c r="U11" s="28">
        <v>8.6999999999999993</v>
      </c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f t="shared" si="0"/>
        <v>16.125</v>
      </c>
      <c r="AK11" s="29">
        <f t="shared" si="1"/>
        <v>82.82</v>
      </c>
    </row>
    <row r="12" spans="1:37" x14ac:dyDescent="0.2">
      <c r="A12" s="27" t="s">
        <v>22</v>
      </c>
      <c r="B12" s="28"/>
      <c r="C12" s="28"/>
      <c r="D12" s="28">
        <v>2.0979999999999999</v>
      </c>
      <c r="E12" s="28">
        <v>3.74</v>
      </c>
      <c r="F12" s="28">
        <v>0.63</v>
      </c>
      <c r="G12" s="28">
        <v>0.2</v>
      </c>
      <c r="H12" s="28">
        <v>0.2</v>
      </c>
      <c r="I12" s="28">
        <v>0.11</v>
      </c>
      <c r="J12" s="28">
        <v>4.1500000000000004</v>
      </c>
      <c r="K12" s="28">
        <v>6.14</v>
      </c>
      <c r="L12" s="28"/>
      <c r="M12" s="28"/>
      <c r="N12" s="28">
        <v>0.14000000000000001</v>
      </c>
      <c r="O12" s="28">
        <v>0.05</v>
      </c>
      <c r="P12" s="28">
        <v>0.08</v>
      </c>
      <c r="Q12" s="28">
        <v>0.02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f t="shared" si="0"/>
        <v>7.298</v>
      </c>
      <c r="AK12" s="29">
        <f t="shared" si="1"/>
        <v>10.260000000000002</v>
      </c>
    </row>
    <row r="13" spans="1:37" x14ac:dyDescent="0.2">
      <c r="A13" s="27" t="s">
        <v>23</v>
      </c>
      <c r="B13" s="28"/>
      <c r="C13" s="28"/>
      <c r="D13" s="28">
        <v>3.4000000000000002E-2</v>
      </c>
      <c r="E13" s="28">
        <v>0.04</v>
      </c>
      <c r="F13" s="28">
        <v>0.56000000000000005</v>
      </c>
      <c r="G13" s="28">
        <v>0.54</v>
      </c>
      <c r="H13" s="28">
        <v>0.02</v>
      </c>
      <c r="I13" s="28">
        <v>0.02</v>
      </c>
      <c r="J13" s="28">
        <v>0.54</v>
      </c>
      <c r="K13" s="28">
        <v>0.46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>
        <v>2.99</v>
      </c>
      <c r="AI13" s="28">
        <v>0.01</v>
      </c>
      <c r="AJ13" s="29">
        <f t="shared" si="0"/>
        <v>4.1440000000000001</v>
      </c>
      <c r="AK13" s="29">
        <f t="shared" si="1"/>
        <v>1.07</v>
      </c>
    </row>
    <row r="14" spans="1:37" x14ac:dyDescent="0.2">
      <c r="A14" s="27" t="s">
        <v>24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f t="shared" si="0"/>
        <v>0</v>
      </c>
      <c r="AK14" s="29">
        <f t="shared" si="1"/>
        <v>0</v>
      </c>
    </row>
    <row r="15" spans="1:37" x14ac:dyDescent="0.2">
      <c r="A15" s="27" t="s">
        <v>174</v>
      </c>
      <c r="B15" s="28">
        <v>27.01</v>
      </c>
      <c r="C15" s="28">
        <v>6.15</v>
      </c>
      <c r="D15" s="28">
        <v>16.513999999999999</v>
      </c>
      <c r="E15" s="28">
        <v>57.8</v>
      </c>
      <c r="F15" s="28">
        <v>100.73</v>
      </c>
      <c r="G15" s="28">
        <v>107</v>
      </c>
      <c r="H15" s="28">
        <v>16.100000000000001</v>
      </c>
      <c r="I15" s="28">
        <v>100</v>
      </c>
      <c r="J15" s="28">
        <v>4.22</v>
      </c>
      <c r="K15" s="28">
        <v>4.5</v>
      </c>
      <c r="L15" s="28">
        <v>25.05</v>
      </c>
      <c r="M15" s="28">
        <v>1.58</v>
      </c>
      <c r="N15" s="28">
        <v>4.5</v>
      </c>
      <c r="O15" s="28">
        <v>4.5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>
        <v>0.04</v>
      </c>
      <c r="AA15" s="28">
        <v>0.01</v>
      </c>
      <c r="AB15" s="28">
        <v>0.15</v>
      </c>
      <c r="AC15" s="28">
        <v>0.15</v>
      </c>
      <c r="AD15" s="28">
        <v>0.12</v>
      </c>
      <c r="AE15" s="28">
        <v>0.17</v>
      </c>
      <c r="AF15" s="28">
        <v>16.8</v>
      </c>
      <c r="AG15" s="28">
        <v>87</v>
      </c>
      <c r="AH15" s="28">
        <v>2.52</v>
      </c>
      <c r="AI15" s="28">
        <v>0.99</v>
      </c>
      <c r="AJ15" s="29">
        <f t="shared" si="0"/>
        <v>213.75400000000005</v>
      </c>
      <c r="AK15" s="29">
        <f t="shared" si="1"/>
        <v>369.84999999999997</v>
      </c>
    </row>
    <row r="16" spans="1:37" x14ac:dyDescent="0.2">
      <c r="A16" s="27" t="s">
        <v>26</v>
      </c>
      <c r="B16" s="28">
        <v>86.79</v>
      </c>
      <c r="C16" s="28">
        <v>42.49</v>
      </c>
      <c r="D16" s="28">
        <v>6.3579999999999997</v>
      </c>
      <c r="E16" s="28">
        <v>33.75</v>
      </c>
      <c r="F16" s="28">
        <v>1.91</v>
      </c>
      <c r="G16" s="28">
        <v>3.1</v>
      </c>
      <c r="H16" s="28">
        <v>2.73</v>
      </c>
      <c r="I16" s="28">
        <v>7.06</v>
      </c>
      <c r="J16" s="28">
        <v>7.0000000000000007E-2</v>
      </c>
      <c r="K16" s="28">
        <v>0.72</v>
      </c>
      <c r="L16" s="28">
        <v>39.659999999999997</v>
      </c>
      <c r="M16" s="28">
        <v>10.08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>
        <v>0.32</v>
      </c>
      <c r="AA16" s="28">
        <v>1E-3</v>
      </c>
      <c r="AB16" s="28">
        <v>17.22</v>
      </c>
      <c r="AC16" s="28">
        <v>12.42</v>
      </c>
      <c r="AD16" s="28">
        <v>1.23</v>
      </c>
      <c r="AE16" s="28">
        <v>0.1</v>
      </c>
      <c r="AF16" s="28">
        <v>12.71</v>
      </c>
      <c r="AG16" s="28">
        <v>19.100000000000001</v>
      </c>
      <c r="AH16" s="28">
        <v>1.01</v>
      </c>
      <c r="AI16" s="28">
        <v>0.04</v>
      </c>
      <c r="AJ16" s="29">
        <f t="shared" si="0"/>
        <v>170.00799999999998</v>
      </c>
      <c r="AK16" s="29">
        <f t="shared" si="1"/>
        <v>128.86099999999999</v>
      </c>
    </row>
    <row r="17" spans="1:37" x14ac:dyDescent="0.2">
      <c r="A17" s="27" t="s">
        <v>27</v>
      </c>
      <c r="B17" s="28"/>
      <c r="C17" s="28"/>
      <c r="D17" s="28">
        <v>9</v>
      </c>
      <c r="E17" s="28">
        <v>15</v>
      </c>
      <c r="F17" s="28">
        <v>54.41</v>
      </c>
      <c r="G17" s="28">
        <v>93.57</v>
      </c>
      <c r="H17" s="28">
        <v>1.5</v>
      </c>
      <c r="I17" s="28">
        <v>0.6</v>
      </c>
      <c r="J17" s="28">
        <v>60</v>
      </c>
      <c r="K17" s="28">
        <v>270</v>
      </c>
      <c r="L17" s="28"/>
      <c r="M17" s="28"/>
      <c r="N17" s="28">
        <v>175</v>
      </c>
      <c r="O17" s="28">
        <v>82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>
        <f t="shared" si="0"/>
        <v>299.90999999999997</v>
      </c>
      <c r="AK17" s="29">
        <f t="shared" si="1"/>
        <v>461.16999999999996</v>
      </c>
    </row>
    <row r="18" spans="1:37" x14ac:dyDescent="0.2">
      <c r="A18" s="27" t="s">
        <v>28</v>
      </c>
      <c r="B18" s="28"/>
      <c r="C18" s="28"/>
      <c r="D18" s="28">
        <v>1.06</v>
      </c>
      <c r="E18" s="28">
        <v>1.04</v>
      </c>
      <c r="F18" s="28">
        <v>99.5</v>
      </c>
      <c r="G18" s="28">
        <v>45.6</v>
      </c>
      <c r="H18" s="28">
        <v>11</v>
      </c>
      <c r="I18" s="28">
        <v>11</v>
      </c>
      <c r="J18" s="28">
        <v>3.5</v>
      </c>
      <c r="K18" s="28">
        <v>40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>
        <v>5.7</v>
      </c>
      <c r="AG18" s="28">
        <v>11.4</v>
      </c>
      <c r="AH18" s="28"/>
      <c r="AI18" s="28"/>
      <c r="AJ18" s="29">
        <f t="shared" si="0"/>
        <v>120.76</v>
      </c>
      <c r="AK18" s="29">
        <f t="shared" si="1"/>
        <v>109.04</v>
      </c>
    </row>
    <row r="19" spans="1:37" x14ac:dyDescent="0.2">
      <c r="A19" s="31" t="s">
        <v>29</v>
      </c>
      <c r="B19" s="28"/>
      <c r="C19" s="28"/>
      <c r="D19" s="28">
        <v>2.4</v>
      </c>
      <c r="E19" s="28">
        <v>3.84</v>
      </c>
      <c r="F19" s="28">
        <v>6.5</v>
      </c>
      <c r="G19" s="28">
        <v>3.9</v>
      </c>
      <c r="H19" s="28">
        <v>1.4</v>
      </c>
      <c r="I19" s="28">
        <v>16.399999999999999</v>
      </c>
      <c r="J19" s="28">
        <v>0.17</v>
      </c>
      <c r="K19" s="28">
        <v>1E-3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>
        <f t="shared" si="0"/>
        <v>10.47</v>
      </c>
      <c r="AK19" s="29">
        <f t="shared" si="1"/>
        <v>24.141000000000002</v>
      </c>
    </row>
    <row r="20" spans="1:37" x14ac:dyDescent="0.2">
      <c r="A20" s="27" t="s">
        <v>30</v>
      </c>
      <c r="B20" s="28">
        <v>0.89</v>
      </c>
      <c r="C20" s="28">
        <v>0.46</v>
      </c>
      <c r="D20" s="28">
        <v>9.4420000000000002</v>
      </c>
      <c r="E20" s="28">
        <v>56.8</v>
      </c>
      <c r="F20" s="28">
        <v>1.85</v>
      </c>
      <c r="G20" s="28">
        <v>1.41</v>
      </c>
      <c r="H20" s="28">
        <v>1.94</v>
      </c>
      <c r="I20" s="28">
        <v>9.98</v>
      </c>
      <c r="J20" s="28">
        <v>0.28000000000000003</v>
      </c>
      <c r="K20" s="28">
        <v>1.1100000000000001</v>
      </c>
      <c r="L20" s="28"/>
      <c r="M20" s="28"/>
      <c r="N20" s="28">
        <v>0.01</v>
      </c>
      <c r="O20" s="28">
        <v>0.05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>
        <v>2.44</v>
      </c>
      <c r="AA20" s="28">
        <v>5</v>
      </c>
      <c r="AB20" s="28"/>
      <c r="AC20" s="28"/>
      <c r="AD20" s="28"/>
      <c r="AE20" s="28"/>
      <c r="AF20" s="28"/>
      <c r="AG20" s="28"/>
      <c r="AH20" s="28"/>
      <c r="AI20" s="28"/>
      <c r="AJ20" s="29">
        <f t="shared" si="0"/>
        <v>16.852</v>
      </c>
      <c r="AK20" s="29">
        <f t="shared" si="1"/>
        <v>74.809999999999988</v>
      </c>
    </row>
    <row r="21" spans="1:37" x14ac:dyDescent="0.2">
      <c r="A21" s="27" t="s">
        <v>31</v>
      </c>
      <c r="B21" s="28">
        <v>7.0000000000000007E-2</v>
      </c>
      <c r="C21" s="28">
        <v>0.01</v>
      </c>
      <c r="D21" s="28">
        <v>7.28</v>
      </c>
      <c r="E21" s="28">
        <v>28.39</v>
      </c>
      <c r="F21" s="28">
        <v>9.02</v>
      </c>
      <c r="G21" s="28">
        <v>8.2100000000000009</v>
      </c>
      <c r="H21" s="28">
        <v>6.05</v>
      </c>
      <c r="I21" s="28">
        <v>22.99</v>
      </c>
      <c r="J21" s="28">
        <v>0.02</v>
      </c>
      <c r="K21" s="28">
        <v>0.01</v>
      </c>
      <c r="L21" s="28"/>
      <c r="M21" s="28"/>
      <c r="N21" s="28">
        <v>0.03</v>
      </c>
      <c r="O21" s="28">
        <v>0.01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>
        <f t="shared" si="0"/>
        <v>22.470000000000002</v>
      </c>
      <c r="AK21" s="29">
        <f t="shared" si="1"/>
        <v>59.61999999999999</v>
      </c>
    </row>
    <row r="22" spans="1:37" x14ac:dyDescent="0.2">
      <c r="A22" s="30" t="s">
        <v>32</v>
      </c>
      <c r="B22" s="28">
        <v>0.23</v>
      </c>
      <c r="C22" s="28">
        <v>0.01</v>
      </c>
      <c r="D22" s="28">
        <v>5.32</v>
      </c>
      <c r="E22" s="28">
        <v>36</v>
      </c>
      <c r="F22" s="28">
        <v>0.8</v>
      </c>
      <c r="G22" s="28">
        <v>1</v>
      </c>
      <c r="H22" s="28">
        <v>0.12</v>
      </c>
      <c r="I22" s="28">
        <v>0.5</v>
      </c>
      <c r="J22" s="28">
        <v>0.1</v>
      </c>
      <c r="K22" s="28">
        <v>0.15</v>
      </c>
      <c r="L22" s="28">
        <v>3.2</v>
      </c>
      <c r="M22" s="28">
        <v>1.5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9">
        <f t="shared" si="0"/>
        <v>9.77</v>
      </c>
      <c r="AK22" s="29">
        <f t="shared" si="1"/>
        <v>39.159999999999997</v>
      </c>
    </row>
    <row r="23" spans="1:37" x14ac:dyDescent="0.2">
      <c r="A23" s="27" t="s">
        <v>209</v>
      </c>
      <c r="B23" s="28"/>
      <c r="C23" s="28"/>
      <c r="D23" s="28">
        <v>15.843999999999999</v>
      </c>
      <c r="E23" s="28">
        <v>35</v>
      </c>
      <c r="F23" s="28">
        <v>75.599999999999994</v>
      </c>
      <c r="G23" s="28">
        <v>70</v>
      </c>
      <c r="H23" s="28">
        <v>2.48</v>
      </c>
      <c r="I23" s="28">
        <v>30</v>
      </c>
      <c r="J23" s="28">
        <v>10.9</v>
      </c>
      <c r="K23" s="28">
        <v>35.5</v>
      </c>
      <c r="L23" s="28"/>
      <c r="M23" s="28"/>
      <c r="N23" s="28">
        <v>19.100000000000001</v>
      </c>
      <c r="O23" s="28">
        <v>11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>
        <f t="shared" si="0"/>
        <v>123.92400000000001</v>
      </c>
      <c r="AK23" s="29">
        <f t="shared" si="1"/>
        <v>181.5</v>
      </c>
    </row>
    <row r="24" spans="1:37" x14ac:dyDescent="0.2">
      <c r="A24" s="30" t="s">
        <v>181</v>
      </c>
      <c r="B24" s="28">
        <v>0.01</v>
      </c>
      <c r="C24" s="28">
        <v>0.01</v>
      </c>
      <c r="D24" s="28"/>
      <c r="E24" s="28"/>
      <c r="F24" s="28">
        <v>0.01</v>
      </c>
      <c r="G24" s="28">
        <v>0.01</v>
      </c>
      <c r="H24" s="28">
        <v>0.01</v>
      </c>
      <c r="I24" s="28">
        <v>0.01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9">
        <f t="shared" si="0"/>
        <v>0.03</v>
      </c>
      <c r="AK24" s="29">
        <f t="shared" si="1"/>
        <v>0.03</v>
      </c>
    </row>
    <row r="25" spans="1:37" x14ac:dyDescent="0.2">
      <c r="A25" s="27" t="s">
        <v>33</v>
      </c>
      <c r="B25" s="28"/>
      <c r="C25" s="28"/>
      <c r="D25" s="28"/>
      <c r="E25" s="28"/>
      <c r="F25" s="28">
        <v>10.6</v>
      </c>
      <c r="G25" s="28">
        <v>17.7</v>
      </c>
      <c r="H25" s="28"/>
      <c r="I25" s="28"/>
      <c r="J25" s="28">
        <v>3.7</v>
      </c>
      <c r="K25" s="28">
        <v>45</v>
      </c>
      <c r="L25" s="28"/>
      <c r="M25" s="28"/>
      <c r="N25" s="28"/>
      <c r="O25" s="28"/>
      <c r="P25" s="28"/>
      <c r="Q25" s="28"/>
      <c r="T25" s="28"/>
      <c r="U25" s="28"/>
      <c r="V25" s="28"/>
      <c r="W25" s="28"/>
      <c r="X25" s="28">
        <v>4.07</v>
      </c>
      <c r="Y25" s="28">
        <v>5.51</v>
      </c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>
        <f t="shared" si="0"/>
        <v>18.37</v>
      </c>
      <c r="AK25" s="29">
        <f t="shared" si="1"/>
        <v>68.210000000000008</v>
      </c>
    </row>
    <row r="26" spans="1:37" x14ac:dyDescent="0.2">
      <c r="A26" s="27" t="s">
        <v>34</v>
      </c>
      <c r="B26" s="28"/>
      <c r="C26" s="28"/>
      <c r="D26" s="28">
        <v>0.16</v>
      </c>
      <c r="E26" s="28">
        <v>0.31</v>
      </c>
      <c r="F26" s="28">
        <v>12.21</v>
      </c>
      <c r="G26" s="28">
        <v>17.71</v>
      </c>
      <c r="H26" s="28">
        <v>0.2</v>
      </c>
      <c r="I26" s="28">
        <v>0.43</v>
      </c>
      <c r="J26" s="28">
        <v>59.45</v>
      </c>
      <c r="K26" s="28">
        <v>235.98</v>
      </c>
      <c r="L26" s="28"/>
      <c r="M26" s="28"/>
      <c r="N26" s="28">
        <v>250</v>
      </c>
      <c r="O26" s="28">
        <v>300</v>
      </c>
      <c r="P26" s="28">
        <v>220</v>
      </c>
      <c r="Q26" s="28">
        <v>111</v>
      </c>
      <c r="R26" s="28">
        <v>59.04</v>
      </c>
      <c r="S26" s="28">
        <v>84.07</v>
      </c>
      <c r="T26" s="28">
        <v>82.35</v>
      </c>
      <c r="U26" s="28">
        <v>87.38</v>
      </c>
      <c r="V26" s="28">
        <v>24.43</v>
      </c>
      <c r="W26" s="28">
        <v>18.010000000000002</v>
      </c>
      <c r="X26" s="28">
        <v>12.8</v>
      </c>
      <c r="Y26" s="28">
        <v>6</v>
      </c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>
        <f t="shared" si="0"/>
        <v>720.63999999999987</v>
      </c>
      <c r="AK26" s="29">
        <f t="shared" si="1"/>
        <v>860.89</v>
      </c>
    </row>
    <row r="27" spans="1:37" x14ac:dyDescent="0.2">
      <c r="A27" s="27" t="s">
        <v>35</v>
      </c>
      <c r="B27" s="28"/>
      <c r="C27" s="28"/>
      <c r="D27" s="28">
        <v>9.25</v>
      </c>
      <c r="E27" s="28">
        <v>51.56</v>
      </c>
      <c r="F27" s="28"/>
      <c r="G27" s="28"/>
      <c r="H27" s="28">
        <v>1.3</v>
      </c>
      <c r="I27" s="28">
        <v>4.68</v>
      </c>
      <c r="J27" s="28"/>
      <c r="K27" s="28"/>
      <c r="L27" s="28">
        <v>16.010000000000002</v>
      </c>
      <c r="M27" s="28">
        <v>3.84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>
        <f t="shared" si="0"/>
        <v>26.560000000000002</v>
      </c>
      <c r="AK27" s="29">
        <f t="shared" si="1"/>
        <v>60.08</v>
      </c>
    </row>
    <row r="28" spans="1:37" x14ac:dyDescent="0.2">
      <c r="A28" s="27" t="s">
        <v>36</v>
      </c>
      <c r="B28" s="28">
        <v>4.3</v>
      </c>
      <c r="C28" s="28">
        <v>0.98</v>
      </c>
      <c r="D28" s="28">
        <v>0.33</v>
      </c>
      <c r="E28" s="28">
        <v>4.0999999999999996</v>
      </c>
      <c r="F28" s="28">
        <v>50.67</v>
      </c>
      <c r="G28" s="28">
        <v>23.06</v>
      </c>
      <c r="H28" s="28">
        <v>35.76</v>
      </c>
      <c r="I28" s="28">
        <v>190.1</v>
      </c>
      <c r="J28" s="28">
        <v>0.45</v>
      </c>
      <c r="K28" s="28">
        <v>2.59</v>
      </c>
      <c r="L28" s="28">
        <v>5.16</v>
      </c>
      <c r="M28" s="28">
        <v>0.77</v>
      </c>
      <c r="N28" s="28">
        <v>9.59</v>
      </c>
      <c r="O28" s="28">
        <v>4.0999999999999996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>
        <v>0.05</v>
      </c>
      <c r="AC28" s="28">
        <v>1E-3</v>
      </c>
      <c r="AD28" s="28">
        <v>0.87</v>
      </c>
      <c r="AE28" s="28">
        <v>0.82</v>
      </c>
      <c r="AF28" s="28">
        <v>16.64</v>
      </c>
      <c r="AG28" s="28">
        <v>53.07</v>
      </c>
      <c r="AH28" s="28">
        <v>0.56999999999999995</v>
      </c>
      <c r="AI28" s="28">
        <v>0.02</v>
      </c>
      <c r="AJ28" s="29">
        <f t="shared" si="0"/>
        <v>124.39</v>
      </c>
      <c r="AK28" s="29">
        <f t="shared" si="1"/>
        <v>279.61099999999999</v>
      </c>
    </row>
    <row r="29" spans="1:37" x14ac:dyDescent="0.2">
      <c r="A29" s="27" t="s">
        <v>37</v>
      </c>
      <c r="B29" s="28">
        <v>0.24</v>
      </c>
      <c r="C29" s="28">
        <v>0.15</v>
      </c>
      <c r="D29" s="28">
        <v>1.8</v>
      </c>
      <c r="E29" s="28">
        <v>7.6</v>
      </c>
      <c r="F29" s="28">
        <v>2.35</v>
      </c>
      <c r="G29" s="28">
        <v>3.7</v>
      </c>
      <c r="H29" s="28">
        <v>1.3</v>
      </c>
      <c r="I29" s="28">
        <v>6.59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>
        <f t="shared" si="0"/>
        <v>5.69</v>
      </c>
      <c r="AK29" s="29">
        <f t="shared" si="1"/>
        <v>18.04</v>
      </c>
    </row>
    <row r="30" spans="1:37" x14ac:dyDescent="0.2">
      <c r="A30" s="27" t="s">
        <v>38</v>
      </c>
      <c r="B30" s="28"/>
      <c r="C30" s="28"/>
      <c r="D30" s="28">
        <v>0.82199999999999995</v>
      </c>
      <c r="E30" s="28">
        <v>4.0199999999999996</v>
      </c>
      <c r="F30" s="28">
        <v>13.47</v>
      </c>
      <c r="G30" s="28">
        <v>10.3</v>
      </c>
      <c r="H30" s="28">
        <v>2</v>
      </c>
      <c r="I30" s="28">
        <v>6</v>
      </c>
      <c r="J30" s="28">
        <v>36.08</v>
      </c>
      <c r="K30" s="28">
        <v>187.39</v>
      </c>
      <c r="L30" s="28"/>
      <c r="M30" s="28"/>
      <c r="N30" s="28">
        <v>6.68</v>
      </c>
      <c r="O30" s="28">
        <v>3.61</v>
      </c>
      <c r="P30" s="28">
        <v>1E-3</v>
      </c>
      <c r="Q30" s="28">
        <v>0.01</v>
      </c>
      <c r="R30" s="28">
        <v>0.8</v>
      </c>
      <c r="S30" s="28">
        <v>0.77</v>
      </c>
      <c r="T30" s="28">
        <v>0.33</v>
      </c>
      <c r="U30" s="28">
        <v>0.22</v>
      </c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>
        <f t="shared" si="0"/>
        <v>60.182999999999993</v>
      </c>
      <c r="AK30" s="29">
        <f t="shared" si="1"/>
        <v>212.32</v>
      </c>
    </row>
    <row r="31" spans="1:37" x14ac:dyDescent="0.2">
      <c r="A31" s="27" t="s">
        <v>98</v>
      </c>
      <c r="B31" s="28"/>
      <c r="C31" s="28"/>
      <c r="D31" s="28">
        <v>2.355</v>
      </c>
      <c r="E31" s="28">
        <v>23.44</v>
      </c>
      <c r="F31" s="28">
        <v>2</v>
      </c>
      <c r="G31" s="28">
        <v>7.2</v>
      </c>
      <c r="H31" s="28">
        <v>1.34</v>
      </c>
      <c r="I31" s="28">
        <v>2.4900000000000002</v>
      </c>
      <c r="J31" s="28">
        <v>1.0900000000000001</v>
      </c>
      <c r="K31" s="28">
        <v>1.54</v>
      </c>
      <c r="L31" s="28"/>
      <c r="M31" s="28"/>
      <c r="N31" s="28">
        <v>0.9</v>
      </c>
      <c r="O31" s="28">
        <v>3.8</v>
      </c>
      <c r="P31" s="28"/>
      <c r="Q31" s="28"/>
      <c r="R31" s="28"/>
      <c r="S31" s="28"/>
      <c r="T31" s="28">
        <v>0.4</v>
      </c>
      <c r="U31" s="28">
        <v>2.61</v>
      </c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>
        <f t="shared" si="0"/>
        <v>8.0850000000000009</v>
      </c>
      <c r="AK31" s="29">
        <f t="shared" si="1"/>
        <v>41.08</v>
      </c>
    </row>
    <row r="32" spans="1:37" x14ac:dyDescent="0.2">
      <c r="A32" s="27" t="s">
        <v>40</v>
      </c>
      <c r="B32" s="28"/>
      <c r="C32" s="28"/>
      <c r="D32" s="28">
        <v>11.5</v>
      </c>
      <c r="E32" s="28">
        <v>25</v>
      </c>
      <c r="F32" s="28">
        <v>63.6</v>
      </c>
      <c r="G32" s="28">
        <v>100</v>
      </c>
      <c r="H32" s="28">
        <v>15.8</v>
      </c>
      <c r="I32" s="28">
        <v>42</v>
      </c>
      <c r="J32" s="28">
        <v>3.35</v>
      </c>
      <c r="K32" s="28">
        <v>40</v>
      </c>
      <c r="L32" s="28">
        <v>3.31</v>
      </c>
      <c r="M32" s="28">
        <v>0.66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>
        <f t="shared" si="0"/>
        <v>97.559999999999988</v>
      </c>
      <c r="AK32" s="29">
        <f t="shared" si="1"/>
        <v>207.66</v>
      </c>
    </row>
    <row r="33" spans="1:37" x14ac:dyDescent="0.2">
      <c r="A33" s="27"/>
      <c r="B33" s="28"/>
      <c r="C33" s="28"/>
      <c r="D33" s="28"/>
      <c r="E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29">
        <f t="shared" si="1"/>
        <v>0</v>
      </c>
    </row>
    <row r="34" spans="1:37" x14ac:dyDescent="0.2">
      <c r="A34" s="27" t="s">
        <v>9</v>
      </c>
      <c r="B34" s="32">
        <f>SUM(B3:B33)</f>
        <v>124.60000000000001</v>
      </c>
      <c r="C34" s="32">
        <f t="shared" ref="C34:AJ34" si="2">SUM(C3:C33)</f>
        <v>52.610099999999989</v>
      </c>
      <c r="D34" s="32">
        <f t="shared" si="2"/>
        <v>136.24799999999999</v>
      </c>
      <c r="E34" s="32">
        <f t="shared" si="2"/>
        <v>682.63000000000011</v>
      </c>
      <c r="F34" s="32">
        <f t="shared" si="2"/>
        <v>794.12000000000012</v>
      </c>
      <c r="G34" s="32">
        <f t="shared" si="2"/>
        <v>1304.3800000000001</v>
      </c>
      <c r="H34" s="32">
        <f t="shared" si="2"/>
        <v>194.23000000000002</v>
      </c>
      <c r="I34" s="32">
        <f t="shared" si="2"/>
        <v>971.09</v>
      </c>
      <c r="J34" s="32">
        <f t="shared" si="2"/>
        <v>247.51999999999998</v>
      </c>
      <c r="K34" s="32">
        <f t="shared" si="2"/>
        <v>1259.2719999999999</v>
      </c>
      <c r="L34" s="32">
        <f t="shared" si="2"/>
        <v>92.39</v>
      </c>
      <c r="M34" s="32">
        <f t="shared" si="2"/>
        <v>18.43</v>
      </c>
      <c r="N34" s="32">
        <f t="shared" si="2"/>
        <v>543.19999999999993</v>
      </c>
      <c r="O34" s="32">
        <f t="shared" si="2"/>
        <v>523.88</v>
      </c>
      <c r="P34" s="32">
        <f t="shared" si="2"/>
        <v>593.98099999999999</v>
      </c>
      <c r="Q34" s="32">
        <f t="shared" si="2"/>
        <v>394.33</v>
      </c>
      <c r="R34" s="32">
        <f t="shared" si="2"/>
        <v>99.61</v>
      </c>
      <c r="S34" s="32">
        <f t="shared" si="2"/>
        <v>142.95000000000002</v>
      </c>
      <c r="T34" s="32">
        <f t="shared" si="2"/>
        <v>93.11999999999999</v>
      </c>
      <c r="U34" s="32">
        <f t="shared" si="2"/>
        <v>112.86999999999999</v>
      </c>
      <c r="V34" s="32">
        <f t="shared" si="2"/>
        <v>35.379999999999995</v>
      </c>
      <c r="W34" s="32">
        <f t="shared" si="2"/>
        <v>26.78</v>
      </c>
      <c r="X34" s="32">
        <f t="shared" si="2"/>
        <v>33.47</v>
      </c>
      <c r="Y34" s="32">
        <f t="shared" si="2"/>
        <v>32.64</v>
      </c>
      <c r="Z34" s="32">
        <f t="shared" si="2"/>
        <v>2.95</v>
      </c>
      <c r="AA34" s="32">
        <f t="shared" si="2"/>
        <v>5.0510000000000002</v>
      </c>
      <c r="AB34" s="32">
        <f t="shared" si="2"/>
        <v>17.489999999999998</v>
      </c>
      <c r="AC34" s="32">
        <f t="shared" si="2"/>
        <v>12.620999999999999</v>
      </c>
      <c r="AD34" s="32">
        <f t="shared" si="2"/>
        <v>2.38</v>
      </c>
      <c r="AE34" s="32">
        <f t="shared" si="2"/>
        <v>1.1000000000000001</v>
      </c>
      <c r="AF34" s="32">
        <f t="shared" si="2"/>
        <v>58.110000000000007</v>
      </c>
      <c r="AG34" s="32">
        <f t="shared" si="2"/>
        <v>201.82</v>
      </c>
      <c r="AH34" s="32">
        <f t="shared" si="2"/>
        <v>7.1</v>
      </c>
      <c r="AI34" s="32">
        <f t="shared" si="2"/>
        <v>1.07</v>
      </c>
      <c r="AJ34" s="32">
        <f t="shared" si="2"/>
        <v>3075.8989999999994</v>
      </c>
      <c r="AK34" s="29">
        <f t="shared" si="1"/>
        <v>5743.5241000000005</v>
      </c>
    </row>
    <row r="35" spans="1:37" ht="14.25" x14ac:dyDescent="0.2">
      <c r="A35" s="88" t="s">
        <v>240</v>
      </c>
    </row>
    <row r="36" spans="1:37" ht="14.25" x14ac:dyDescent="0.2">
      <c r="A36" s="88" t="s">
        <v>239</v>
      </c>
    </row>
  </sheetData>
  <mergeCells count="18"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V1:W1"/>
    <mergeCell ref="X1:Y1"/>
    <mergeCell ref="AH1:AI1"/>
    <mergeCell ref="AJ1:AK1"/>
    <mergeCell ref="Z1:AA1"/>
    <mergeCell ref="AB1:AC1"/>
    <mergeCell ref="AD1:AE1"/>
    <mergeCell ref="AF1:AG1"/>
  </mergeCells>
  <phoneticPr fontId="24" type="noConversion"/>
  <pageMargins left="0.75" right="0.75" top="1" bottom="1" header="0.5" footer="0.5"/>
  <pageSetup scale="90" orientation="landscape" verticalDpi="300" r:id="rId1"/>
  <headerFooter alignWithMargins="0">
    <oddHeader xml:space="preserve">&amp;C&amp;"Arial,Bold"&amp;12Area and Production of Spices  2012-13 &amp;R&amp;"Arial,Bold"&amp;9Area in '000 Ha 
Production in'000  MT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abSelected="1" zoomScaleNormal="100" workbookViewId="0">
      <pane xSplit="1" ySplit="3" topLeftCell="Z31" activePane="bottomRight" state="frozen"/>
      <selection pane="topRight" activeCell="B1" sqref="B1"/>
      <selection pane="bottomLeft" activeCell="A4" sqref="A4"/>
      <selection pane="bottomRight" activeCell="AK42" sqref="AK42"/>
    </sheetView>
  </sheetViews>
  <sheetFormatPr defaultColWidth="10.5703125" defaultRowHeight="18.75" customHeight="1" x14ac:dyDescent="0.2"/>
  <cols>
    <col min="1" max="1" width="23.5703125" style="67" customWidth="1"/>
    <col min="2" max="16384" width="10.5703125" style="67"/>
  </cols>
  <sheetData>
    <row r="1" spans="1:40" ht="18.75" customHeight="1" x14ac:dyDescent="0.2">
      <c r="A1" s="55" t="s">
        <v>97</v>
      </c>
      <c r="B1" s="106" t="s">
        <v>182</v>
      </c>
      <c r="C1" s="119"/>
      <c r="D1" s="107"/>
      <c r="E1" s="106" t="s">
        <v>183</v>
      </c>
      <c r="F1" s="119"/>
      <c r="G1" s="107"/>
      <c r="H1" s="106" t="s">
        <v>184</v>
      </c>
      <c r="I1" s="119"/>
      <c r="J1" s="107"/>
      <c r="K1" s="106" t="s">
        <v>185</v>
      </c>
      <c r="L1" s="119"/>
      <c r="M1" s="107"/>
      <c r="N1" s="106" t="s">
        <v>186</v>
      </c>
      <c r="O1" s="119"/>
      <c r="P1" s="107"/>
      <c r="Q1" s="105" t="s">
        <v>187</v>
      </c>
      <c r="R1" s="105"/>
      <c r="S1" s="105"/>
      <c r="T1" s="106" t="s">
        <v>188</v>
      </c>
      <c r="U1" s="119"/>
      <c r="V1" s="107"/>
      <c r="W1" s="106" t="s">
        <v>189</v>
      </c>
      <c r="X1" s="119"/>
      <c r="Y1" s="107"/>
      <c r="Z1" s="105" t="s">
        <v>190</v>
      </c>
      <c r="AA1" s="105"/>
      <c r="AB1" s="105"/>
      <c r="AC1" s="106" t="s">
        <v>191</v>
      </c>
      <c r="AD1" s="119"/>
      <c r="AE1" s="107"/>
      <c r="AF1" s="106" t="s">
        <v>192</v>
      </c>
      <c r="AG1" s="119"/>
      <c r="AH1" s="107"/>
      <c r="AI1" s="106" t="s">
        <v>8</v>
      </c>
      <c r="AJ1" s="119"/>
      <c r="AK1" s="107"/>
      <c r="AL1" s="105" t="s">
        <v>193</v>
      </c>
      <c r="AM1" s="105"/>
      <c r="AN1" s="105"/>
    </row>
    <row r="2" spans="1:40" ht="18.75" customHeight="1" x14ac:dyDescent="0.2">
      <c r="A2" s="26"/>
      <c r="B2" s="55" t="s">
        <v>49</v>
      </c>
      <c r="C2" s="55" t="s">
        <v>10</v>
      </c>
      <c r="D2" s="55" t="s">
        <v>10</v>
      </c>
      <c r="E2" s="55" t="s">
        <v>49</v>
      </c>
      <c r="F2" s="55" t="s">
        <v>10</v>
      </c>
      <c r="G2" s="55" t="s">
        <v>10</v>
      </c>
      <c r="H2" s="55" t="s">
        <v>49</v>
      </c>
      <c r="I2" s="55" t="s">
        <v>10</v>
      </c>
      <c r="J2" s="55" t="s">
        <v>10</v>
      </c>
      <c r="K2" s="55" t="s">
        <v>49</v>
      </c>
      <c r="L2" s="55" t="s">
        <v>10</v>
      </c>
      <c r="M2" s="55" t="s">
        <v>10</v>
      </c>
      <c r="N2" s="55" t="s">
        <v>49</v>
      </c>
      <c r="O2" s="55" t="s">
        <v>10</v>
      </c>
      <c r="P2" s="55" t="s">
        <v>10</v>
      </c>
      <c r="Q2" s="55" t="s">
        <v>49</v>
      </c>
      <c r="R2" s="55" t="s">
        <v>10</v>
      </c>
      <c r="S2" s="55" t="s">
        <v>10</v>
      </c>
      <c r="T2" s="55" t="s">
        <v>49</v>
      </c>
      <c r="U2" s="55" t="s">
        <v>10</v>
      </c>
      <c r="V2" s="55" t="s">
        <v>10</v>
      </c>
      <c r="W2" s="55" t="s">
        <v>49</v>
      </c>
      <c r="X2" s="55" t="s">
        <v>10</v>
      </c>
      <c r="Y2" s="55" t="s">
        <v>10</v>
      </c>
      <c r="Z2" s="55" t="s">
        <v>49</v>
      </c>
      <c r="AA2" s="55" t="s">
        <v>10</v>
      </c>
      <c r="AB2" s="55" t="s">
        <v>10</v>
      </c>
      <c r="AC2" s="55" t="s">
        <v>49</v>
      </c>
      <c r="AD2" s="55" t="s">
        <v>10</v>
      </c>
      <c r="AE2" s="55" t="s">
        <v>10</v>
      </c>
      <c r="AF2" s="55" t="s">
        <v>49</v>
      </c>
      <c r="AG2" s="55" t="s">
        <v>10</v>
      </c>
      <c r="AH2" s="55" t="s">
        <v>10</v>
      </c>
      <c r="AI2" s="55" t="s">
        <v>49</v>
      </c>
      <c r="AJ2" s="55" t="s">
        <v>10</v>
      </c>
      <c r="AK2" s="55" t="s">
        <v>10</v>
      </c>
      <c r="AL2" s="55" t="s">
        <v>49</v>
      </c>
      <c r="AM2" s="105" t="s">
        <v>10</v>
      </c>
      <c r="AN2" s="105"/>
    </row>
    <row r="3" spans="1:40" ht="18.75" customHeight="1" x14ac:dyDescent="0.2">
      <c r="A3" s="26"/>
      <c r="B3" s="61"/>
      <c r="C3" s="61" t="s">
        <v>194</v>
      </c>
      <c r="D3" s="61" t="s">
        <v>66</v>
      </c>
      <c r="E3" s="61"/>
      <c r="F3" s="61" t="s">
        <v>194</v>
      </c>
      <c r="G3" s="61" t="s">
        <v>66</v>
      </c>
      <c r="H3" s="61"/>
      <c r="I3" s="61" t="s">
        <v>194</v>
      </c>
      <c r="J3" s="61" t="s">
        <v>66</v>
      </c>
      <c r="K3" s="61"/>
      <c r="L3" s="61" t="s">
        <v>194</v>
      </c>
      <c r="M3" s="61" t="s">
        <v>66</v>
      </c>
      <c r="N3" s="61"/>
      <c r="O3" s="61" t="s">
        <v>194</v>
      </c>
      <c r="P3" s="61" t="s">
        <v>66</v>
      </c>
      <c r="Q3" s="61"/>
      <c r="R3" s="61" t="s">
        <v>194</v>
      </c>
      <c r="S3" s="61" t="s">
        <v>66</v>
      </c>
      <c r="T3" s="61"/>
      <c r="U3" s="61" t="s">
        <v>194</v>
      </c>
      <c r="V3" s="61" t="s">
        <v>66</v>
      </c>
      <c r="W3" s="61"/>
      <c r="X3" s="61" t="s">
        <v>194</v>
      </c>
      <c r="Y3" s="61" t="s">
        <v>66</v>
      </c>
      <c r="Z3" s="61"/>
      <c r="AA3" s="61" t="s">
        <v>194</v>
      </c>
      <c r="AB3" s="61" t="s">
        <v>66</v>
      </c>
      <c r="AC3" s="61"/>
      <c r="AD3" s="61" t="s">
        <v>194</v>
      </c>
      <c r="AE3" s="61" t="s">
        <v>66</v>
      </c>
      <c r="AF3" s="61"/>
      <c r="AG3" s="61" t="s">
        <v>194</v>
      </c>
      <c r="AH3" s="61" t="s">
        <v>66</v>
      </c>
      <c r="AI3" s="61"/>
      <c r="AJ3" s="61" t="s">
        <v>65</v>
      </c>
      <c r="AK3" s="61" t="s">
        <v>66</v>
      </c>
      <c r="AL3" s="57"/>
      <c r="AM3" s="55" t="s">
        <v>65</v>
      </c>
      <c r="AN3" s="55" t="s">
        <v>66</v>
      </c>
    </row>
    <row r="4" spans="1:40" ht="18.75" customHeight="1" x14ac:dyDescent="0.2">
      <c r="A4" s="76" t="s">
        <v>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>
        <v>0.01</v>
      </c>
      <c r="R4" s="43">
        <v>0.01</v>
      </c>
      <c r="S4" s="43"/>
      <c r="T4" s="43">
        <v>0.01</v>
      </c>
      <c r="U4" s="43">
        <v>0.1</v>
      </c>
      <c r="V4" s="43"/>
      <c r="W4" s="43"/>
      <c r="X4" s="43"/>
      <c r="Y4" s="43"/>
      <c r="Z4" s="43">
        <v>0</v>
      </c>
      <c r="AA4" s="43">
        <v>0.04</v>
      </c>
      <c r="AB4" s="43"/>
      <c r="AC4" s="43"/>
      <c r="AD4" s="43"/>
      <c r="AE4" s="43"/>
      <c r="AF4" s="43"/>
      <c r="AG4" s="43"/>
      <c r="AH4" s="43"/>
      <c r="AI4" s="43">
        <v>0.02</v>
      </c>
      <c r="AJ4" s="43">
        <v>0.2</v>
      </c>
      <c r="AK4" s="43"/>
      <c r="AL4" s="44">
        <f>B4+E4+H4+K4+N4+Q4+T4+W4+Z4+AC4+AF4+AI4</f>
        <v>0.04</v>
      </c>
      <c r="AM4" s="44">
        <f t="shared" ref="AM4:AN19" si="0">C4+F4+I4+L4+O4+R4+U4+X4+AA4+AD4+AG4+AJ4</f>
        <v>0.35</v>
      </c>
      <c r="AN4" s="44">
        <f t="shared" si="0"/>
        <v>0</v>
      </c>
    </row>
    <row r="5" spans="1:40" ht="18.75" customHeight="1" x14ac:dyDescent="0.2">
      <c r="A5" s="76" t="s">
        <v>12</v>
      </c>
      <c r="B5" s="43"/>
      <c r="C5" s="43"/>
      <c r="D5" s="43"/>
      <c r="E5" s="43"/>
      <c r="F5" s="43"/>
      <c r="G5" s="43"/>
      <c r="H5" s="43">
        <v>9.5969999999999995</v>
      </c>
      <c r="I5" s="43">
        <v>95.97</v>
      </c>
      <c r="J5" s="43"/>
      <c r="K5" s="43"/>
      <c r="L5" s="43"/>
      <c r="M5" s="43"/>
      <c r="N5" s="43">
        <v>1.9E-2</v>
      </c>
      <c r="O5" s="43"/>
      <c r="P5" s="43">
        <v>10</v>
      </c>
      <c r="Q5" s="43">
        <v>3.496</v>
      </c>
      <c r="R5" s="43">
        <v>17.472999999999999</v>
      </c>
      <c r="S5" s="43"/>
      <c r="T5" s="43">
        <v>4.8019999999999996</v>
      </c>
      <c r="U5" s="43">
        <v>38.411999999999999</v>
      </c>
      <c r="V5" s="43"/>
      <c r="W5" s="43"/>
      <c r="X5" s="43"/>
      <c r="Y5" s="43"/>
      <c r="Z5" s="43">
        <v>2.2999999999999998</v>
      </c>
      <c r="AA5" s="43"/>
      <c r="AB5" s="43">
        <v>6899</v>
      </c>
      <c r="AC5" s="43">
        <v>2.3860000000000001</v>
      </c>
      <c r="AD5" s="43">
        <v>14.314</v>
      </c>
      <c r="AE5" s="43"/>
      <c r="AF5" s="43"/>
      <c r="AG5" s="43"/>
      <c r="AH5" s="43"/>
      <c r="AI5" s="43">
        <f>2.01+10.24</f>
        <v>12.25</v>
      </c>
      <c r="AJ5" s="43">
        <f>7.035+51.202</f>
        <v>58.236999999999995</v>
      </c>
      <c r="AK5" s="43"/>
      <c r="AL5" s="44">
        <f t="shared" ref="AL5:AN37" si="1">B5+E5+H5+K5+N5+Q5+T5+W5+Z5+AC5+AF5+AI5</f>
        <v>34.85</v>
      </c>
      <c r="AM5" s="44">
        <f t="shared" si="0"/>
        <v>224.40599999999998</v>
      </c>
      <c r="AN5" s="44">
        <f t="shared" si="0"/>
        <v>6909</v>
      </c>
    </row>
    <row r="6" spans="1:40" ht="18.75" customHeight="1" x14ac:dyDescent="0.2">
      <c r="A6" s="77" t="s">
        <v>233</v>
      </c>
      <c r="B6" s="43">
        <v>4.5999999999999999E-3</v>
      </c>
      <c r="C6" s="43"/>
      <c r="D6" s="43">
        <v>116</v>
      </c>
      <c r="E6" s="43"/>
      <c r="F6" s="43"/>
      <c r="G6" s="43"/>
      <c r="H6" s="43"/>
      <c r="I6" s="43"/>
      <c r="J6" s="43"/>
      <c r="K6" s="43">
        <v>4.0000000000000001E-3</v>
      </c>
      <c r="L6" s="43"/>
      <c r="M6" s="43">
        <v>88</v>
      </c>
      <c r="N6" s="43"/>
      <c r="O6" s="43"/>
      <c r="P6" s="43"/>
      <c r="Q6" s="43"/>
      <c r="R6" s="43"/>
      <c r="S6" s="43"/>
      <c r="T6" s="43">
        <v>0.01</v>
      </c>
      <c r="U6" s="43">
        <v>9.7999999999999997E-3</v>
      </c>
      <c r="V6" s="43"/>
      <c r="W6" s="43"/>
      <c r="X6" s="43"/>
      <c r="Y6" s="43"/>
      <c r="Z6" s="43">
        <v>4.4999999999999997E-3</v>
      </c>
      <c r="AA6" s="43"/>
      <c r="AB6" s="43">
        <v>93</v>
      </c>
      <c r="AC6" s="43"/>
      <c r="AD6" s="43"/>
      <c r="AE6" s="43"/>
      <c r="AF6" s="43"/>
      <c r="AG6" s="43"/>
      <c r="AH6" s="43"/>
      <c r="AI6" s="43"/>
      <c r="AJ6" s="43"/>
      <c r="AK6" s="43"/>
      <c r="AL6" s="44">
        <f t="shared" si="1"/>
        <v>2.3099999999999999E-2</v>
      </c>
      <c r="AM6" s="44">
        <f t="shared" si="0"/>
        <v>9.7999999999999997E-3</v>
      </c>
      <c r="AN6" s="44">
        <f t="shared" si="0"/>
        <v>297</v>
      </c>
    </row>
    <row r="7" spans="1:40" ht="18.75" customHeight="1" x14ac:dyDescent="0.2">
      <c r="A7" s="76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>
        <v>1.8</v>
      </c>
      <c r="AJ7" s="43">
        <v>11.7</v>
      </c>
      <c r="AK7" s="43">
        <v>3750</v>
      </c>
      <c r="AL7" s="44">
        <f t="shared" si="1"/>
        <v>1.8</v>
      </c>
      <c r="AM7" s="44">
        <f t="shared" si="0"/>
        <v>11.7</v>
      </c>
      <c r="AN7" s="44">
        <f t="shared" si="0"/>
        <v>3750</v>
      </c>
    </row>
    <row r="8" spans="1:40" ht="18.75" customHeight="1" x14ac:dyDescent="0.2">
      <c r="A8" s="76" t="s">
        <v>15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>
        <f>0.18+0.84</f>
        <v>1.02</v>
      </c>
      <c r="AJ8" s="43">
        <v>10.151999999999999</v>
      </c>
      <c r="AK8" s="43">
        <v>324</v>
      </c>
      <c r="AL8" s="44">
        <f t="shared" si="1"/>
        <v>1.02</v>
      </c>
      <c r="AM8" s="44">
        <f t="shared" si="0"/>
        <v>10.151999999999999</v>
      </c>
      <c r="AN8" s="44">
        <f t="shared" si="0"/>
        <v>324</v>
      </c>
    </row>
    <row r="9" spans="1:40" ht="18.75" customHeight="1" x14ac:dyDescent="0.2">
      <c r="A9" s="76" t="s">
        <v>226</v>
      </c>
      <c r="B9" s="43"/>
      <c r="C9" s="43"/>
      <c r="D9" s="43"/>
      <c r="E9" s="43"/>
      <c r="F9" s="43"/>
      <c r="G9" s="43"/>
      <c r="H9" s="43">
        <v>0.25</v>
      </c>
      <c r="I9" s="43">
        <v>0.74</v>
      </c>
      <c r="J9" s="43"/>
      <c r="K9" s="43"/>
      <c r="L9" s="43"/>
      <c r="M9" s="43"/>
      <c r="N9" s="43">
        <v>1.98</v>
      </c>
      <c r="O9" s="43">
        <v>5.18</v>
      </c>
      <c r="P9" s="43"/>
      <c r="Q9" s="43">
        <v>0.03</v>
      </c>
      <c r="R9" s="43">
        <v>0.05</v>
      </c>
      <c r="S9" s="43"/>
      <c r="T9" s="43">
        <v>3.13</v>
      </c>
      <c r="U9" s="43">
        <v>19.93</v>
      </c>
      <c r="V9" s="43"/>
      <c r="W9" s="43"/>
      <c r="X9" s="43"/>
      <c r="Y9" s="43"/>
      <c r="Z9" s="43">
        <v>1</v>
      </c>
      <c r="AA9" s="43">
        <v>2.4</v>
      </c>
      <c r="AB9" s="43"/>
      <c r="AC9" s="43">
        <v>1.79</v>
      </c>
      <c r="AD9" s="43">
        <v>5.91</v>
      </c>
      <c r="AE9" s="43"/>
      <c r="AF9" s="43"/>
      <c r="AG9" s="43"/>
      <c r="AH9" s="43"/>
      <c r="AI9" s="43">
        <f>0.22+1.39</f>
        <v>1.6099999999999999</v>
      </c>
      <c r="AJ9" s="43">
        <f>0.96+2.58</f>
        <v>3.54</v>
      </c>
      <c r="AK9" s="43"/>
      <c r="AL9" s="44">
        <f t="shared" si="1"/>
        <v>9.7899999999999991</v>
      </c>
      <c r="AM9" s="44">
        <f t="shared" si="0"/>
        <v>37.749999999999993</v>
      </c>
      <c r="AN9" s="44">
        <f t="shared" si="0"/>
        <v>0</v>
      </c>
    </row>
    <row r="10" spans="1:40" ht="18.75" customHeight="1" x14ac:dyDescent="0.2">
      <c r="A10" s="76" t="s">
        <v>16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4">
        <f t="shared" si="1"/>
        <v>0</v>
      </c>
      <c r="AM10" s="44">
        <f t="shared" si="0"/>
        <v>0</v>
      </c>
      <c r="AN10" s="44">
        <f t="shared" si="0"/>
        <v>0</v>
      </c>
    </row>
    <row r="11" spans="1:40" ht="18.75" customHeight="1" x14ac:dyDescent="0.2">
      <c r="A11" s="76" t="s">
        <v>17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4">
        <f t="shared" si="1"/>
        <v>0</v>
      </c>
      <c r="AM11" s="44">
        <f t="shared" si="0"/>
        <v>0</v>
      </c>
      <c r="AN11" s="44">
        <f t="shared" si="0"/>
        <v>0</v>
      </c>
    </row>
    <row r="12" spans="1:40" ht="18.75" customHeight="1" x14ac:dyDescent="0.2">
      <c r="A12" s="76" t="s">
        <v>18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>
        <v>5.5</v>
      </c>
      <c r="AJ12" s="43">
        <v>5.7</v>
      </c>
      <c r="AK12" s="43">
        <v>1038</v>
      </c>
      <c r="AL12" s="44">
        <f t="shared" si="1"/>
        <v>5.5</v>
      </c>
      <c r="AM12" s="44">
        <f t="shared" si="0"/>
        <v>5.7</v>
      </c>
      <c r="AN12" s="44">
        <f t="shared" si="0"/>
        <v>1038</v>
      </c>
    </row>
    <row r="13" spans="1:40" ht="18.75" customHeight="1" x14ac:dyDescent="0.2">
      <c r="A13" s="76" t="s">
        <v>19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4">
        <f t="shared" si="1"/>
        <v>0</v>
      </c>
      <c r="AM13" s="44">
        <f t="shared" si="0"/>
        <v>0</v>
      </c>
      <c r="AN13" s="44">
        <f t="shared" si="0"/>
        <v>0</v>
      </c>
    </row>
    <row r="14" spans="1:40" ht="18.75" customHeight="1" x14ac:dyDescent="0.2">
      <c r="A14" s="76" t="s">
        <v>20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>
        <v>7.01</v>
      </c>
      <c r="U14" s="43">
        <v>66.540000000000006</v>
      </c>
      <c r="V14" s="43"/>
      <c r="W14" s="43"/>
      <c r="X14" s="43"/>
      <c r="Y14" s="43"/>
      <c r="Z14" s="43">
        <v>4.42</v>
      </c>
      <c r="AA14" s="43">
        <v>35.479999999999997</v>
      </c>
      <c r="AB14" s="43"/>
      <c r="AC14" s="43"/>
      <c r="AD14" s="43"/>
      <c r="AE14" s="43"/>
      <c r="AF14" s="43"/>
      <c r="AG14" s="43"/>
      <c r="AH14" s="43"/>
      <c r="AI14" s="43">
        <v>5.84</v>
      </c>
      <c r="AJ14" s="43">
        <v>47.25</v>
      </c>
      <c r="AK14" s="43"/>
      <c r="AL14" s="44">
        <f t="shared" si="1"/>
        <v>17.27</v>
      </c>
      <c r="AM14" s="44">
        <f t="shared" si="0"/>
        <v>149.27000000000001</v>
      </c>
      <c r="AN14" s="44">
        <f t="shared" si="0"/>
        <v>0</v>
      </c>
    </row>
    <row r="15" spans="1:40" ht="18.75" customHeight="1" x14ac:dyDescent="0.2">
      <c r="A15" s="76" t="s">
        <v>21</v>
      </c>
      <c r="B15" s="43"/>
      <c r="C15" s="43"/>
      <c r="D15" s="43"/>
      <c r="E15" s="43"/>
      <c r="F15" s="43"/>
      <c r="G15" s="43"/>
      <c r="H15" s="43">
        <v>0.11</v>
      </c>
      <c r="I15" s="43">
        <v>0.4</v>
      </c>
      <c r="J15" s="43">
        <v>20.329999999999998</v>
      </c>
      <c r="K15" s="43">
        <v>4.0000000000000001E-3</v>
      </c>
      <c r="L15" s="43"/>
      <c r="M15" s="43">
        <v>2.4</v>
      </c>
      <c r="N15" s="43">
        <v>0.64</v>
      </c>
      <c r="O15" s="43"/>
      <c r="P15" s="43">
        <v>826.95</v>
      </c>
      <c r="Q15" s="43"/>
      <c r="R15" s="43"/>
      <c r="S15" s="43"/>
      <c r="T15" s="43">
        <v>5.37</v>
      </c>
      <c r="U15" s="43">
        <v>63.73</v>
      </c>
      <c r="V15" s="43"/>
      <c r="W15" s="43"/>
      <c r="X15" s="43"/>
      <c r="Y15" s="43"/>
      <c r="Z15" s="43">
        <v>0.12</v>
      </c>
      <c r="AA15" s="43">
        <v>0.39</v>
      </c>
      <c r="AB15" s="43">
        <v>154.69999999999999</v>
      </c>
      <c r="AC15" s="43">
        <v>0.12</v>
      </c>
      <c r="AD15" s="43"/>
      <c r="AE15" s="43">
        <v>130.80000000000001</v>
      </c>
      <c r="AF15" s="43"/>
      <c r="AG15" s="43"/>
      <c r="AH15" s="43"/>
      <c r="AI15" s="43">
        <f>0.002+0.1</f>
        <v>0.10200000000000001</v>
      </c>
      <c r="AJ15" s="43">
        <v>0.2</v>
      </c>
      <c r="AK15" s="43">
        <f>2.4+133</f>
        <v>135.4</v>
      </c>
      <c r="AL15" s="44">
        <f t="shared" si="1"/>
        <v>6.4660000000000011</v>
      </c>
      <c r="AM15" s="44">
        <f t="shared" si="0"/>
        <v>64.72</v>
      </c>
      <c r="AN15" s="44">
        <f t="shared" si="0"/>
        <v>1270.5800000000002</v>
      </c>
    </row>
    <row r="16" spans="1:40" ht="18.75" customHeight="1" x14ac:dyDescent="0.2">
      <c r="A16" s="76" t="s">
        <v>22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>
        <f>0.345+0.569</f>
        <v>0.91399999999999992</v>
      </c>
      <c r="AJ16" s="43">
        <v>37.707000000000001</v>
      </c>
      <c r="AK16" s="43">
        <v>1760.3</v>
      </c>
      <c r="AL16" s="44">
        <f t="shared" si="1"/>
        <v>0.91399999999999992</v>
      </c>
      <c r="AM16" s="44">
        <f t="shared" si="0"/>
        <v>37.707000000000001</v>
      </c>
      <c r="AN16" s="44">
        <f t="shared" si="0"/>
        <v>1760.3</v>
      </c>
    </row>
    <row r="17" spans="1:40" ht="18.75" customHeight="1" x14ac:dyDescent="0.2">
      <c r="A17" s="76" t="s">
        <v>23</v>
      </c>
      <c r="B17" s="43">
        <v>3.5E-4</v>
      </c>
      <c r="C17" s="43">
        <v>2.0000000000000001E-4</v>
      </c>
      <c r="D17" s="43"/>
      <c r="E17" s="43">
        <v>4.0000000000000001E-3</v>
      </c>
      <c r="F17" s="43"/>
      <c r="G17" s="43">
        <v>25</v>
      </c>
      <c r="H17" s="43">
        <v>5.0000000000000001E-4</v>
      </c>
      <c r="I17" s="43"/>
      <c r="J17" s="43">
        <v>10.25</v>
      </c>
      <c r="K17" s="43">
        <v>2E-3</v>
      </c>
      <c r="L17" s="43"/>
      <c r="M17" s="43">
        <v>5</v>
      </c>
      <c r="N17" s="43">
        <f>0.03+0.0075</f>
        <v>3.7499999999999999E-2</v>
      </c>
      <c r="O17" s="43"/>
      <c r="P17" s="43">
        <f>62+7.6</f>
        <v>69.599999999999994</v>
      </c>
      <c r="Q17" s="43">
        <v>5.0000000000000001E-4</v>
      </c>
      <c r="R17" s="43">
        <v>1.0000000000000001E-5</v>
      </c>
      <c r="S17" s="43"/>
      <c r="T17" s="43">
        <f>0.015+0.716</f>
        <v>0.73099999999999998</v>
      </c>
      <c r="U17" s="43">
        <f>0.31+0.017</f>
        <v>0.32700000000000001</v>
      </c>
      <c r="V17" s="43"/>
      <c r="W17" s="43"/>
      <c r="X17" s="43"/>
      <c r="Y17" s="43"/>
      <c r="Z17" s="43">
        <v>1.9E-2</v>
      </c>
      <c r="AA17" s="43"/>
      <c r="AB17" s="43">
        <v>33.15</v>
      </c>
      <c r="AC17" s="43">
        <f>0.0002+0.0003</f>
        <v>5.0000000000000001E-4</v>
      </c>
      <c r="AD17" s="43">
        <f>0.00003</f>
        <v>3.0000000000000001E-5</v>
      </c>
      <c r="AE17" s="43">
        <v>0.8</v>
      </c>
      <c r="AF17" s="43">
        <v>1.7999999999999999E-2</v>
      </c>
      <c r="AG17" s="43"/>
      <c r="AH17" s="43">
        <v>45.1</v>
      </c>
      <c r="AI17" s="43">
        <f>0.001+0.02+0.0015+0.011+0.002+0.005+0.00005</f>
        <v>4.0550000000000003E-2</v>
      </c>
      <c r="AJ17" s="43">
        <f>0.06+0.015</f>
        <v>7.4999999999999997E-2</v>
      </c>
      <c r="AK17" s="43">
        <f>3+3+22+5.15+0.045</f>
        <v>33.195</v>
      </c>
      <c r="AL17" s="44">
        <f t="shared" si="1"/>
        <v>0.85389999999999988</v>
      </c>
      <c r="AM17" s="44">
        <f t="shared" si="0"/>
        <v>0.40223999999999999</v>
      </c>
      <c r="AN17" s="44">
        <f t="shared" si="0"/>
        <v>222.095</v>
      </c>
    </row>
    <row r="18" spans="1:40" ht="18.75" customHeight="1" x14ac:dyDescent="0.2">
      <c r="A18" s="76" t="s">
        <v>24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>
        <v>1.6</v>
      </c>
      <c r="AJ18" s="43">
        <v>22.026</v>
      </c>
      <c r="AK18" s="43">
        <v>1711</v>
      </c>
      <c r="AL18" s="44">
        <f t="shared" si="1"/>
        <v>1.6</v>
      </c>
      <c r="AM18" s="44">
        <f t="shared" si="0"/>
        <v>22.026</v>
      </c>
      <c r="AN18" s="44">
        <f t="shared" si="0"/>
        <v>1711</v>
      </c>
    </row>
    <row r="19" spans="1:40" ht="18.75" customHeight="1" x14ac:dyDescent="0.2">
      <c r="A19" s="76" t="s">
        <v>25</v>
      </c>
      <c r="B19" s="43"/>
      <c r="C19" s="43"/>
      <c r="D19" s="43">
        <v>7.3</v>
      </c>
      <c r="E19" s="43"/>
      <c r="F19" s="43"/>
      <c r="G19" s="43">
        <v>114.7</v>
      </c>
      <c r="H19" s="43">
        <v>5.4</v>
      </c>
      <c r="I19" s="43">
        <v>66.5</v>
      </c>
      <c r="J19" s="43"/>
      <c r="K19" s="43"/>
      <c r="L19" s="43"/>
      <c r="M19" s="43">
        <v>104.2</v>
      </c>
      <c r="N19" s="43">
        <v>0.2</v>
      </c>
      <c r="O19" s="43"/>
      <c r="P19" s="43">
        <v>654.4</v>
      </c>
      <c r="Q19" s="43">
        <v>4.8</v>
      </c>
      <c r="R19" s="43">
        <v>29.3</v>
      </c>
      <c r="S19" s="43"/>
      <c r="T19" s="43">
        <v>8.5</v>
      </c>
      <c r="U19" s="43">
        <v>74</v>
      </c>
      <c r="V19" s="43"/>
      <c r="W19" s="43"/>
      <c r="X19" s="43"/>
      <c r="Y19" s="43">
        <v>0.1</v>
      </c>
      <c r="Z19" s="43">
        <v>2.8</v>
      </c>
      <c r="AA19" s="43"/>
      <c r="AB19" s="43">
        <v>7132</v>
      </c>
      <c r="AC19" s="43">
        <f>1.8+0.3</f>
        <v>2.1</v>
      </c>
      <c r="AD19" s="43"/>
      <c r="AE19" s="43">
        <f>16.1+1413</f>
        <v>1429.1</v>
      </c>
      <c r="AF19" s="43"/>
      <c r="AG19" s="43"/>
      <c r="AH19" s="43"/>
      <c r="AI19" s="43">
        <v>5.9</v>
      </c>
      <c r="AJ19" s="43">
        <v>37.700000000000003</v>
      </c>
      <c r="AK19" s="43"/>
      <c r="AL19" s="44">
        <f t="shared" si="1"/>
        <v>29.700000000000003</v>
      </c>
      <c r="AM19" s="44">
        <f t="shared" si="0"/>
        <v>207.5</v>
      </c>
      <c r="AN19" s="44">
        <f t="shared" si="0"/>
        <v>9441.7999999999993</v>
      </c>
    </row>
    <row r="20" spans="1:40" ht="18.75" customHeight="1" x14ac:dyDescent="0.2">
      <c r="A20" s="76" t="s">
        <v>26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4">
        <f t="shared" si="1"/>
        <v>0</v>
      </c>
      <c r="AM20" s="44">
        <f t="shared" si="1"/>
        <v>0</v>
      </c>
      <c r="AN20" s="44">
        <f t="shared" si="1"/>
        <v>0</v>
      </c>
    </row>
    <row r="21" spans="1:40" ht="18.75" customHeight="1" x14ac:dyDescent="0.2">
      <c r="A21" s="76" t="s">
        <v>58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>
        <f t="shared" si="1"/>
        <v>0</v>
      </c>
      <c r="AM21" s="44">
        <f t="shared" si="1"/>
        <v>0</v>
      </c>
      <c r="AN21" s="44">
        <f t="shared" si="1"/>
        <v>0</v>
      </c>
    </row>
    <row r="22" spans="1:40" ht="18.75" customHeight="1" x14ac:dyDescent="0.2">
      <c r="A22" s="76" t="s">
        <v>27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>
        <v>16.515000000000001</v>
      </c>
      <c r="AJ22" s="43">
        <v>193</v>
      </c>
      <c r="AK22" s="43"/>
      <c r="AL22" s="44">
        <f t="shared" si="1"/>
        <v>16.515000000000001</v>
      </c>
      <c r="AM22" s="44">
        <f t="shared" si="1"/>
        <v>193</v>
      </c>
      <c r="AN22" s="44">
        <f t="shared" si="1"/>
        <v>0</v>
      </c>
    </row>
    <row r="23" spans="1:40" ht="18.75" customHeight="1" x14ac:dyDescent="0.2">
      <c r="A23" s="76" t="s">
        <v>28</v>
      </c>
      <c r="B23" s="43"/>
      <c r="C23" s="43"/>
      <c r="D23" s="43"/>
      <c r="E23" s="43"/>
      <c r="F23" s="43"/>
      <c r="G23" s="43"/>
      <c r="H23" s="43">
        <v>3</v>
      </c>
      <c r="I23" s="43">
        <v>12</v>
      </c>
      <c r="J23" s="43"/>
      <c r="K23" s="43"/>
      <c r="L23" s="43"/>
      <c r="M23" s="43"/>
      <c r="N23" s="43">
        <v>1</v>
      </c>
      <c r="O23" s="43">
        <v>7</v>
      </c>
      <c r="P23" s="43"/>
      <c r="Q23" s="43">
        <v>2</v>
      </c>
      <c r="R23" s="43">
        <v>4</v>
      </c>
      <c r="S23" s="43"/>
      <c r="T23" s="43">
        <v>7</v>
      </c>
      <c r="U23" s="43">
        <v>65</v>
      </c>
      <c r="V23" s="43"/>
      <c r="W23" s="43"/>
      <c r="X23" s="43"/>
      <c r="Y23" s="43"/>
      <c r="Z23" s="43">
        <v>6</v>
      </c>
      <c r="AA23" s="43">
        <v>13</v>
      </c>
      <c r="AB23" s="43"/>
      <c r="AC23" s="43">
        <v>1</v>
      </c>
      <c r="AD23" s="43">
        <v>6</v>
      </c>
      <c r="AE23" s="43"/>
      <c r="AF23" s="43"/>
      <c r="AG23" s="43"/>
      <c r="AH23" s="43"/>
      <c r="AI23" s="43">
        <v>2</v>
      </c>
      <c r="AJ23" s="43">
        <v>12</v>
      </c>
      <c r="AK23" s="43">
        <v>7914</v>
      </c>
      <c r="AL23" s="44">
        <f t="shared" si="1"/>
        <v>22</v>
      </c>
      <c r="AM23" s="44">
        <f t="shared" si="1"/>
        <v>119</v>
      </c>
      <c r="AN23" s="44">
        <f t="shared" si="1"/>
        <v>7914</v>
      </c>
    </row>
    <row r="24" spans="1:40" ht="18.75" customHeight="1" x14ac:dyDescent="0.2">
      <c r="A24" s="78" t="s">
        <v>29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4">
        <f t="shared" si="1"/>
        <v>0</v>
      </c>
      <c r="AM24" s="44">
        <f t="shared" si="1"/>
        <v>0</v>
      </c>
      <c r="AN24" s="44">
        <f t="shared" si="1"/>
        <v>0</v>
      </c>
    </row>
    <row r="25" spans="1:40" ht="18.75" customHeight="1" x14ac:dyDescent="0.2">
      <c r="A25" s="76" t="s">
        <v>30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4">
        <f t="shared" si="1"/>
        <v>0</v>
      </c>
      <c r="AM25" s="44">
        <f t="shared" si="1"/>
        <v>0</v>
      </c>
      <c r="AN25" s="44">
        <f t="shared" si="1"/>
        <v>0</v>
      </c>
    </row>
    <row r="26" spans="1:40" ht="18.75" customHeight="1" x14ac:dyDescent="0.2">
      <c r="A26" s="76" t="s">
        <v>31</v>
      </c>
      <c r="B26" s="43">
        <v>5.0999999999999997E-2</v>
      </c>
      <c r="C26" s="43"/>
      <c r="D26" s="43">
        <v>141.27000000000001</v>
      </c>
      <c r="E26" s="43"/>
      <c r="F26" s="43"/>
      <c r="G26" s="43"/>
      <c r="H26" s="43"/>
      <c r="I26" s="43"/>
      <c r="J26" s="43"/>
      <c r="K26" s="43">
        <v>2.3E-2</v>
      </c>
      <c r="L26" s="43"/>
      <c r="M26" s="43">
        <v>32.200000000000003</v>
      </c>
      <c r="N26" s="43"/>
      <c r="O26" s="43"/>
      <c r="P26" s="43"/>
      <c r="Q26" s="43"/>
      <c r="R26" s="43"/>
      <c r="S26" s="43"/>
      <c r="T26" s="43"/>
      <c r="U26" s="43"/>
      <c r="V26" s="43"/>
      <c r="W26" s="43">
        <v>1.2E-2</v>
      </c>
      <c r="X26" s="43"/>
      <c r="Y26" s="43">
        <v>7.6999999999999999E-2</v>
      </c>
      <c r="Z26" s="43">
        <v>0.01</v>
      </c>
      <c r="AA26" s="43"/>
      <c r="AB26" s="43">
        <v>45.8</v>
      </c>
      <c r="AC26" s="43"/>
      <c r="AD26" s="43"/>
      <c r="AE26" s="43"/>
      <c r="AF26" s="43"/>
      <c r="AG26" s="43"/>
      <c r="AH26" s="43"/>
      <c r="AI26" s="43">
        <v>6.7000000000000004E-2</v>
      </c>
      <c r="AJ26" s="43">
        <v>166.83</v>
      </c>
      <c r="AK26" s="43">
        <v>385.87</v>
      </c>
      <c r="AL26" s="44">
        <f t="shared" si="1"/>
        <v>0.16299999999999998</v>
      </c>
      <c r="AM26" s="44">
        <f t="shared" si="1"/>
        <v>166.83</v>
      </c>
      <c r="AN26" s="44">
        <f t="shared" si="1"/>
        <v>605.2170000000001</v>
      </c>
    </row>
    <row r="27" spans="1:40" ht="18.75" customHeight="1" x14ac:dyDescent="0.2">
      <c r="A27" s="77" t="s">
        <v>32</v>
      </c>
      <c r="B27" s="43">
        <v>2.9199999999999999E-3</v>
      </c>
      <c r="C27" s="43"/>
      <c r="D27" s="43">
        <v>51.2</v>
      </c>
      <c r="E27" s="43"/>
      <c r="F27" s="43"/>
      <c r="G27" s="43"/>
      <c r="H27" s="43"/>
      <c r="I27" s="43"/>
      <c r="J27" s="43"/>
      <c r="K27" s="43">
        <v>4.0000000000000002E-4</v>
      </c>
      <c r="L27" s="43"/>
      <c r="M27" s="43">
        <v>0.39600000000000002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>
        <v>1.82E-3</v>
      </c>
      <c r="AA27" s="43"/>
      <c r="AB27" s="43">
        <v>16.113</v>
      </c>
      <c r="AC27" s="43"/>
      <c r="AD27" s="43"/>
      <c r="AE27" s="43"/>
      <c r="AF27" s="43"/>
      <c r="AG27" s="43"/>
      <c r="AH27" s="43"/>
      <c r="AI27" s="43">
        <f>0.00188+0.00112</f>
        <v>3.0000000000000001E-3</v>
      </c>
      <c r="AJ27" s="43"/>
      <c r="AK27" s="43">
        <f>11.28+17.67</f>
        <v>28.950000000000003</v>
      </c>
      <c r="AL27" s="44">
        <f t="shared" si="1"/>
        <v>8.1400000000000014E-3</v>
      </c>
      <c r="AM27" s="44">
        <f t="shared" si="1"/>
        <v>0</v>
      </c>
      <c r="AN27" s="44">
        <f t="shared" si="1"/>
        <v>96.659000000000006</v>
      </c>
    </row>
    <row r="28" spans="1:40" ht="18.75" customHeight="1" x14ac:dyDescent="0.2">
      <c r="A28" s="76" t="s">
        <v>209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>
        <v>2.37</v>
      </c>
      <c r="O28" s="43"/>
      <c r="P28" s="43">
        <v>2350</v>
      </c>
      <c r="Q28" s="43"/>
      <c r="R28" s="43"/>
      <c r="S28" s="43"/>
      <c r="T28" s="43">
        <v>2.69</v>
      </c>
      <c r="U28" s="43">
        <v>24.707000000000001</v>
      </c>
      <c r="V28" s="43"/>
      <c r="W28" s="43"/>
      <c r="X28" s="43"/>
      <c r="Y28" s="43"/>
      <c r="Z28" s="43">
        <v>1.91</v>
      </c>
      <c r="AA28" s="43"/>
      <c r="AB28" s="43">
        <v>3690</v>
      </c>
      <c r="AC28" s="43">
        <v>0.55000000000000004</v>
      </c>
      <c r="AD28" s="43">
        <v>1.4550000000000001</v>
      </c>
      <c r="AE28" s="43"/>
      <c r="AF28" s="43"/>
      <c r="AG28" s="43"/>
      <c r="AH28" s="43"/>
      <c r="AI28" s="43"/>
      <c r="AJ28" s="43"/>
      <c r="AK28" s="43"/>
      <c r="AL28" s="44">
        <f t="shared" si="1"/>
        <v>7.5200000000000005</v>
      </c>
      <c r="AM28" s="44">
        <f t="shared" si="1"/>
        <v>26.161999999999999</v>
      </c>
      <c r="AN28" s="44">
        <f t="shared" si="1"/>
        <v>6040</v>
      </c>
    </row>
    <row r="29" spans="1:40" ht="18.75" customHeight="1" x14ac:dyDescent="0.2">
      <c r="A29" s="77" t="s">
        <v>181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>
        <v>1.2999999999999999E-2</v>
      </c>
      <c r="R29" s="43">
        <v>6.0999999999999999E-2</v>
      </c>
      <c r="S29" s="43"/>
      <c r="T29" s="43">
        <v>4.5999999999999999E-2</v>
      </c>
      <c r="U29" s="43">
        <v>0.29799999999999999</v>
      </c>
      <c r="V29" s="43"/>
      <c r="W29" s="43"/>
      <c r="X29" s="43"/>
      <c r="Y29" s="43"/>
      <c r="Z29" s="43">
        <v>2E-3</v>
      </c>
      <c r="AA29" s="43">
        <v>5.0000000000000001E-3</v>
      </c>
      <c r="AB29" s="43"/>
      <c r="AC29" s="43">
        <v>6.0000000000000001E-3</v>
      </c>
      <c r="AD29" s="43">
        <v>2.5999999999999999E-2</v>
      </c>
      <c r="AE29" s="43"/>
      <c r="AF29" s="43"/>
      <c r="AG29" s="43"/>
      <c r="AH29" s="43"/>
      <c r="AI29" s="43">
        <v>8.9999999999999993E-3</v>
      </c>
      <c r="AJ29" s="43">
        <v>3.6999999999999998E-2</v>
      </c>
      <c r="AK29" s="43"/>
      <c r="AL29" s="44">
        <f t="shared" si="1"/>
        <v>7.5999999999999998E-2</v>
      </c>
      <c r="AM29" s="44">
        <f t="shared" si="1"/>
        <v>0.42699999999999999</v>
      </c>
      <c r="AN29" s="44">
        <f t="shared" si="1"/>
        <v>0</v>
      </c>
    </row>
    <row r="30" spans="1:40" ht="18.75" customHeight="1" x14ac:dyDescent="0.2">
      <c r="A30" s="76" t="s">
        <v>33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>
        <f>1.34+0.77</f>
        <v>2.1100000000000003</v>
      </c>
      <c r="AJ30" s="43">
        <f>10.38+0.07</f>
        <v>10.450000000000001</v>
      </c>
      <c r="AK30" s="43"/>
      <c r="AL30" s="44">
        <f t="shared" si="1"/>
        <v>2.1100000000000003</v>
      </c>
      <c r="AM30" s="44">
        <f t="shared" si="1"/>
        <v>10.450000000000001</v>
      </c>
      <c r="AN30" s="44">
        <f t="shared" si="1"/>
        <v>0</v>
      </c>
    </row>
    <row r="31" spans="1:40" ht="18.75" customHeight="1" x14ac:dyDescent="0.2">
      <c r="A31" s="76" t="s">
        <v>34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>
        <v>3.4340000000000002</v>
      </c>
      <c r="AJ31" s="43">
        <v>3.7189999999999999</v>
      </c>
      <c r="AK31" s="43"/>
      <c r="AL31" s="44">
        <f t="shared" si="1"/>
        <v>3.4340000000000002</v>
      </c>
      <c r="AM31" s="44">
        <f t="shared" si="1"/>
        <v>3.7189999999999999</v>
      </c>
      <c r="AN31" s="44">
        <f t="shared" si="1"/>
        <v>0</v>
      </c>
    </row>
    <row r="32" spans="1:40" ht="18.75" customHeight="1" x14ac:dyDescent="0.2">
      <c r="A32" s="76" t="s">
        <v>35</v>
      </c>
      <c r="B32" s="43">
        <v>8.9999999999999993E-3</v>
      </c>
      <c r="C32" s="43"/>
      <c r="D32" s="43">
        <v>4.5</v>
      </c>
      <c r="E32" s="43">
        <v>7.0000000000000001E-3</v>
      </c>
      <c r="F32" s="43"/>
      <c r="G32" s="43">
        <v>9</v>
      </c>
      <c r="H32" s="43"/>
      <c r="I32" s="43"/>
      <c r="J32" s="43"/>
      <c r="K32" s="43">
        <v>0.03</v>
      </c>
      <c r="L32" s="43"/>
      <c r="M32" s="43">
        <v>17</v>
      </c>
      <c r="N32" s="43">
        <v>2.9000000000000001E-2</v>
      </c>
      <c r="O32" s="43"/>
      <c r="P32" s="43">
        <v>65</v>
      </c>
      <c r="Q32" s="43"/>
      <c r="R32" s="43"/>
      <c r="S32" s="43"/>
      <c r="T32" s="43"/>
      <c r="U32" s="43"/>
      <c r="V32" s="43"/>
      <c r="W32" s="43"/>
      <c r="X32" s="43"/>
      <c r="Y32" s="43"/>
      <c r="Z32" s="43">
        <v>2.3E-2</v>
      </c>
      <c r="AA32" s="43"/>
      <c r="AB32" s="43">
        <v>23</v>
      </c>
      <c r="AC32" s="43"/>
      <c r="AD32" s="43"/>
      <c r="AE32" s="43"/>
      <c r="AF32" s="43"/>
      <c r="AG32" s="43"/>
      <c r="AH32" s="43"/>
      <c r="AI32" s="43">
        <f>0.035+0.015+0.018+0.039+0.017</f>
        <v>0.12400000000000001</v>
      </c>
      <c r="AJ32" s="43">
        <v>26.5</v>
      </c>
      <c r="AK32" s="43">
        <f>30+14.5+18.5+32.6</f>
        <v>95.6</v>
      </c>
      <c r="AL32" s="44">
        <f t="shared" si="1"/>
        <v>0.22200000000000003</v>
      </c>
      <c r="AM32" s="44">
        <f t="shared" si="1"/>
        <v>26.5</v>
      </c>
      <c r="AN32" s="44">
        <f t="shared" si="1"/>
        <v>214.1</v>
      </c>
    </row>
    <row r="33" spans="1:40" ht="18.75" customHeight="1" x14ac:dyDescent="0.2">
      <c r="A33" s="76" t="s">
        <v>36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>
        <v>28.71</v>
      </c>
      <c r="AJ33" s="43">
        <v>312.97000000000003</v>
      </c>
      <c r="AK33" s="43">
        <v>1168</v>
      </c>
      <c r="AL33" s="44">
        <f t="shared" si="1"/>
        <v>28.71</v>
      </c>
      <c r="AM33" s="44">
        <f t="shared" si="1"/>
        <v>312.97000000000003</v>
      </c>
      <c r="AN33" s="44">
        <f t="shared" si="1"/>
        <v>1168</v>
      </c>
    </row>
    <row r="34" spans="1:40" ht="18.75" customHeight="1" x14ac:dyDescent="0.2">
      <c r="A34" s="76" t="s">
        <v>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>
        <f t="shared" si="1"/>
        <v>0</v>
      </c>
      <c r="AM34" s="44">
        <f t="shared" si="1"/>
        <v>0</v>
      </c>
      <c r="AN34" s="44">
        <f t="shared" si="1"/>
        <v>0</v>
      </c>
    </row>
    <row r="35" spans="1:40" ht="18.75" customHeight="1" x14ac:dyDescent="0.2">
      <c r="A35" s="76" t="s">
        <v>38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>
        <v>3.0920000000000001</v>
      </c>
      <c r="O35" s="43"/>
      <c r="P35" s="43">
        <v>3092</v>
      </c>
      <c r="Q35" s="43"/>
      <c r="R35" s="43"/>
      <c r="S35" s="43"/>
      <c r="T35" s="43">
        <v>3.5760000000000001</v>
      </c>
      <c r="U35" s="43">
        <v>7.1520000000000001</v>
      </c>
      <c r="V35" s="43"/>
      <c r="W35" s="43"/>
      <c r="X35" s="43"/>
      <c r="Y35" s="43"/>
      <c r="Z35" s="43">
        <f>7.704+1.816</f>
        <v>9.52</v>
      </c>
      <c r="AA35" s="43">
        <v>24.341999999999999</v>
      </c>
      <c r="AB35" s="43">
        <v>1816</v>
      </c>
      <c r="AC35" s="43"/>
      <c r="AD35" s="43"/>
      <c r="AE35" s="43"/>
      <c r="AF35" s="43"/>
      <c r="AG35" s="43"/>
      <c r="AH35" s="43"/>
      <c r="AI35" s="43"/>
      <c r="AJ35" s="43"/>
      <c r="AK35" s="43"/>
      <c r="AL35" s="44">
        <f t="shared" si="1"/>
        <v>16.187999999999999</v>
      </c>
      <c r="AM35" s="44">
        <f t="shared" si="1"/>
        <v>31.494</v>
      </c>
      <c r="AN35" s="44">
        <f t="shared" si="1"/>
        <v>4908</v>
      </c>
    </row>
    <row r="36" spans="1:40" ht="18.75" customHeight="1" x14ac:dyDescent="0.2">
      <c r="A36" s="76" t="s">
        <v>98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>
        <f>0.607+0.954</f>
        <v>1.5609999999999999</v>
      </c>
      <c r="AJ36" s="43">
        <v>1.8240000000000001</v>
      </c>
      <c r="AK36" s="43">
        <v>3633</v>
      </c>
      <c r="AL36" s="44">
        <f t="shared" si="1"/>
        <v>1.5609999999999999</v>
      </c>
      <c r="AM36" s="44">
        <f t="shared" si="1"/>
        <v>1.8240000000000001</v>
      </c>
      <c r="AN36" s="44">
        <f t="shared" si="1"/>
        <v>3633</v>
      </c>
    </row>
    <row r="37" spans="1:40" ht="18.75" customHeight="1" x14ac:dyDescent="0.2">
      <c r="A37" s="76" t="s">
        <v>40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>
        <f>10.045+14.365</f>
        <v>24.41</v>
      </c>
      <c r="AJ37" s="43">
        <v>65.143000000000001</v>
      </c>
      <c r="AK37" s="65">
        <v>25429.1</v>
      </c>
      <c r="AL37" s="44">
        <f t="shared" si="1"/>
        <v>24.41</v>
      </c>
      <c r="AM37" s="44">
        <f t="shared" si="1"/>
        <v>65.143000000000001</v>
      </c>
      <c r="AN37" s="44">
        <f t="shared" si="1"/>
        <v>25429.1</v>
      </c>
    </row>
    <row r="38" spans="1:40" ht="18.75" customHeight="1" x14ac:dyDescent="0.2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</row>
    <row r="39" spans="1:40" ht="18.75" customHeight="1" x14ac:dyDescent="0.2">
      <c r="A39" s="76" t="s">
        <v>9</v>
      </c>
      <c r="B39" s="44">
        <f>SUM(B4:B38)</f>
        <v>6.787E-2</v>
      </c>
      <c r="C39" s="44">
        <f t="shared" ref="C39:K39" si="2">SUM(C4:C38)</f>
        <v>2.0000000000000001E-4</v>
      </c>
      <c r="D39" s="44">
        <f t="shared" si="2"/>
        <v>320.27</v>
      </c>
      <c r="E39" s="44">
        <f t="shared" si="2"/>
        <v>1.0999999999999999E-2</v>
      </c>
      <c r="F39" s="44">
        <f t="shared" si="2"/>
        <v>0</v>
      </c>
      <c r="G39" s="44">
        <f t="shared" si="2"/>
        <v>148.69999999999999</v>
      </c>
      <c r="H39" s="44">
        <f t="shared" si="2"/>
        <v>18.357500000000002</v>
      </c>
      <c r="I39" s="44">
        <f t="shared" si="2"/>
        <v>175.61</v>
      </c>
      <c r="J39" s="44">
        <f t="shared" si="2"/>
        <v>30.58</v>
      </c>
      <c r="K39" s="44">
        <f t="shared" si="2"/>
        <v>6.3399999999999998E-2</v>
      </c>
      <c r="L39" s="44">
        <f t="shared" ref="L39:AN39" si="3">SUM(L4:L38)</f>
        <v>0</v>
      </c>
      <c r="M39" s="44">
        <f t="shared" si="3"/>
        <v>249.196</v>
      </c>
      <c r="N39" s="44">
        <f t="shared" si="3"/>
        <v>9.3674999999999997</v>
      </c>
      <c r="O39" s="44">
        <f t="shared" si="3"/>
        <v>12.18</v>
      </c>
      <c r="P39" s="44">
        <f t="shared" si="3"/>
        <v>7067.95</v>
      </c>
      <c r="Q39" s="44">
        <f t="shared" si="3"/>
        <v>10.349499999999999</v>
      </c>
      <c r="R39" s="44">
        <f t="shared" si="3"/>
        <v>50.894010000000002</v>
      </c>
      <c r="S39" s="44">
        <f t="shared" si="3"/>
        <v>0</v>
      </c>
      <c r="T39" s="44">
        <f t="shared" si="3"/>
        <v>42.875</v>
      </c>
      <c r="U39" s="44">
        <f t="shared" si="3"/>
        <v>360.20580000000001</v>
      </c>
      <c r="V39" s="44">
        <f t="shared" si="3"/>
        <v>0</v>
      </c>
      <c r="W39" s="44">
        <f t="shared" si="3"/>
        <v>1.2E-2</v>
      </c>
      <c r="X39" s="44">
        <f t="shared" si="3"/>
        <v>0</v>
      </c>
      <c r="Y39" s="44">
        <f t="shared" si="3"/>
        <v>0.17699999999999999</v>
      </c>
      <c r="Z39" s="44">
        <f t="shared" si="3"/>
        <v>28.130319999999998</v>
      </c>
      <c r="AA39" s="44">
        <f t="shared" si="3"/>
        <v>75.656999999999996</v>
      </c>
      <c r="AB39" s="44">
        <f t="shared" si="3"/>
        <v>19902.762999999999</v>
      </c>
      <c r="AC39" s="44">
        <f t="shared" si="3"/>
        <v>7.9524999999999997</v>
      </c>
      <c r="AD39" s="44">
        <f t="shared" si="3"/>
        <v>27.705029999999997</v>
      </c>
      <c r="AE39" s="44">
        <f t="shared" si="3"/>
        <v>1560.6999999999998</v>
      </c>
      <c r="AF39" s="44">
        <f t="shared" si="3"/>
        <v>1.7999999999999999E-2</v>
      </c>
      <c r="AG39" s="44">
        <f t="shared" si="3"/>
        <v>0</v>
      </c>
      <c r="AH39" s="44">
        <f t="shared" si="3"/>
        <v>45.1</v>
      </c>
      <c r="AI39" s="44">
        <f t="shared" si="3"/>
        <v>115.53954999999999</v>
      </c>
      <c r="AJ39" s="44">
        <f t="shared" si="3"/>
        <v>1026.96</v>
      </c>
      <c r="AK39" s="44">
        <f t="shared" si="3"/>
        <v>47406.414999999994</v>
      </c>
      <c r="AL39" s="44">
        <f t="shared" si="3"/>
        <v>232.74414000000002</v>
      </c>
      <c r="AM39" s="44">
        <f t="shared" si="3"/>
        <v>1729.2120399999999</v>
      </c>
      <c r="AN39" s="44">
        <f t="shared" si="3"/>
        <v>76731.850999999995</v>
      </c>
    </row>
    <row r="40" spans="1:40" ht="18.75" customHeight="1" x14ac:dyDescent="0.2">
      <c r="A40" s="60" t="s">
        <v>241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26.25" customHeight="1" x14ac:dyDescent="0.2">
      <c r="A41" s="86" t="s">
        <v>200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57.75" customHeight="1" x14ac:dyDescent="0.2">
      <c r="A42" s="87" t="s">
        <v>234</v>
      </c>
    </row>
    <row r="43" spans="1:40" ht="27" customHeight="1" x14ac:dyDescent="0.2"/>
  </sheetData>
  <mergeCells count="14">
    <mergeCell ref="N1:P1"/>
    <mergeCell ref="Q1:S1"/>
    <mergeCell ref="T1:V1"/>
    <mergeCell ref="W1:Y1"/>
    <mergeCell ref="B1:D1"/>
    <mergeCell ref="E1:G1"/>
    <mergeCell ref="H1:J1"/>
    <mergeCell ref="K1:M1"/>
    <mergeCell ref="AL1:AN1"/>
    <mergeCell ref="AM2:AN2"/>
    <mergeCell ref="Z1:AB1"/>
    <mergeCell ref="AC1:AE1"/>
    <mergeCell ref="AF1:AH1"/>
    <mergeCell ref="AI1:AK1"/>
  </mergeCells>
  <phoneticPr fontId="24" type="noConversion"/>
  <pageMargins left="0.26" right="0.25" top="0.63" bottom="0.33" header="0.27" footer="0.18"/>
  <pageSetup scale="74" orientation="landscape" verticalDpi="300" r:id="rId1"/>
  <headerFooter alignWithMargins="0">
    <oddHeader>&amp;C&amp;"Arial,Bold"&amp;12Area and Production of Flowers 2012-13 (Final)&amp;R&amp;"Arial,Bold"&amp;8Area in '000 Ha
 Loose Production in '000 MT
Cut Production in Lakh No.</oddHeader>
  </headerFooter>
  <colBreaks count="2" manualBreakCount="2">
    <brk id="16" max="1048575" man="1"/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zoomScaleNormal="100" workbookViewId="0">
      <pane xSplit="1" ySplit="3" topLeftCell="Y28" activePane="bottomRight" state="frozen"/>
      <selection pane="topRight" activeCell="B1" sqref="B1"/>
      <selection pane="bottomLeft" activeCell="A4" sqref="A4"/>
      <selection pane="bottomRight" activeCell="AC42" sqref="AC42"/>
    </sheetView>
  </sheetViews>
  <sheetFormatPr defaultColWidth="10.5703125" defaultRowHeight="18.75" customHeight="1" x14ac:dyDescent="0.2"/>
  <cols>
    <col min="1" max="1" width="23.5703125" style="67" customWidth="1"/>
    <col min="2" max="16384" width="10.5703125" style="67"/>
  </cols>
  <sheetData>
    <row r="1" spans="1:40" ht="18.75" customHeight="1" x14ac:dyDescent="0.2">
      <c r="A1" s="80" t="s">
        <v>97</v>
      </c>
      <c r="B1" s="106" t="s">
        <v>182</v>
      </c>
      <c r="C1" s="119"/>
      <c r="D1" s="107"/>
      <c r="E1" s="106" t="s">
        <v>183</v>
      </c>
      <c r="F1" s="119"/>
      <c r="G1" s="107"/>
      <c r="H1" s="106" t="s">
        <v>184</v>
      </c>
      <c r="I1" s="119"/>
      <c r="J1" s="107"/>
      <c r="K1" s="106" t="s">
        <v>185</v>
      </c>
      <c r="L1" s="119"/>
      <c r="M1" s="107"/>
      <c r="N1" s="106" t="s">
        <v>186</v>
      </c>
      <c r="O1" s="119"/>
      <c r="P1" s="107"/>
      <c r="Q1" s="105" t="s">
        <v>187</v>
      </c>
      <c r="R1" s="105"/>
      <c r="S1" s="105"/>
      <c r="T1" s="106" t="s">
        <v>188</v>
      </c>
      <c r="U1" s="119"/>
      <c r="V1" s="107"/>
      <c r="W1" s="106" t="s">
        <v>189</v>
      </c>
      <c r="X1" s="119"/>
      <c r="Y1" s="107"/>
      <c r="Z1" s="105" t="s">
        <v>190</v>
      </c>
      <c r="AA1" s="105"/>
      <c r="AB1" s="105"/>
      <c r="AC1" s="106" t="s">
        <v>191</v>
      </c>
      <c r="AD1" s="119"/>
      <c r="AE1" s="107"/>
      <c r="AF1" s="106" t="s">
        <v>192</v>
      </c>
      <c r="AG1" s="119"/>
      <c r="AH1" s="107"/>
      <c r="AI1" s="106" t="s">
        <v>8</v>
      </c>
      <c r="AJ1" s="119"/>
      <c r="AK1" s="107"/>
      <c r="AL1" s="105" t="s">
        <v>193</v>
      </c>
      <c r="AM1" s="105"/>
      <c r="AN1" s="105"/>
    </row>
    <row r="2" spans="1:40" ht="18.75" customHeight="1" x14ac:dyDescent="0.2">
      <c r="A2" s="26"/>
      <c r="B2" s="80" t="s">
        <v>49</v>
      </c>
      <c r="C2" s="80" t="s">
        <v>10</v>
      </c>
      <c r="D2" s="80" t="s">
        <v>10</v>
      </c>
      <c r="E2" s="80" t="s">
        <v>49</v>
      </c>
      <c r="F2" s="80" t="s">
        <v>10</v>
      </c>
      <c r="G2" s="80" t="s">
        <v>10</v>
      </c>
      <c r="H2" s="80" t="s">
        <v>49</v>
      </c>
      <c r="I2" s="80" t="s">
        <v>10</v>
      </c>
      <c r="J2" s="80" t="s">
        <v>10</v>
      </c>
      <c r="K2" s="80" t="s">
        <v>49</v>
      </c>
      <c r="L2" s="80" t="s">
        <v>10</v>
      </c>
      <c r="M2" s="80" t="s">
        <v>10</v>
      </c>
      <c r="N2" s="80" t="s">
        <v>49</v>
      </c>
      <c r="O2" s="80" t="s">
        <v>10</v>
      </c>
      <c r="P2" s="80" t="s">
        <v>10</v>
      </c>
      <c r="Q2" s="80" t="s">
        <v>49</v>
      </c>
      <c r="R2" s="80" t="s">
        <v>10</v>
      </c>
      <c r="S2" s="80" t="s">
        <v>10</v>
      </c>
      <c r="T2" s="80" t="s">
        <v>49</v>
      </c>
      <c r="U2" s="80" t="s">
        <v>10</v>
      </c>
      <c r="V2" s="80" t="s">
        <v>10</v>
      </c>
      <c r="W2" s="80" t="s">
        <v>49</v>
      </c>
      <c r="X2" s="80" t="s">
        <v>10</v>
      </c>
      <c r="Y2" s="80" t="s">
        <v>10</v>
      </c>
      <c r="Z2" s="80" t="s">
        <v>49</v>
      </c>
      <c r="AA2" s="80" t="s">
        <v>10</v>
      </c>
      <c r="AB2" s="80" t="s">
        <v>10</v>
      </c>
      <c r="AC2" s="80" t="s">
        <v>49</v>
      </c>
      <c r="AD2" s="80" t="s">
        <v>10</v>
      </c>
      <c r="AE2" s="80" t="s">
        <v>10</v>
      </c>
      <c r="AF2" s="80" t="s">
        <v>49</v>
      </c>
      <c r="AG2" s="80" t="s">
        <v>10</v>
      </c>
      <c r="AH2" s="80" t="s">
        <v>10</v>
      </c>
      <c r="AI2" s="80" t="s">
        <v>49</v>
      </c>
      <c r="AJ2" s="80" t="s">
        <v>10</v>
      </c>
      <c r="AK2" s="80" t="s">
        <v>10</v>
      </c>
      <c r="AL2" s="80" t="s">
        <v>49</v>
      </c>
      <c r="AM2" s="105" t="s">
        <v>10</v>
      </c>
      <c r="AN2" s="105"/>
    </row>
    <row r="3" spans="1:40" ht="18.75" customHeight="1" x14ac:dyDescent="0.2">
      <c r="A3" s="26"/>
      <c r="B3" s="61"/>
      <c r="C3" s="61" t="s">
        <v>194</v>
      </c>
      <c r="D3" s="61" t="s">
        <v>66</v>
      </c>
      <c r="E3" s="61"/>
      <c r="F3" s="61" t="s">
        <v>194</v>
      </c>
      <c r="G3" s="61" t="s">
        <v>66</v>
      </c>
      <c r="H3" s="61"/>
      <c r="I3" s="61" t="s">
        <v>194</v>
      </c>
      <c r="J3" s="61" t="s">
        <v>66</v>
      </c>
      <c r="K3" s="61"/>
      <c r="L3" s="61" t="s">
        <v>194</v>
      </c>
      <c r="M3" s="61" t="s">
        <v>66</v>
      </c>
      <c r="N3" s="61"/>
      <c r="O3" s="61" t="s">
        <v>194</v>
      </c>
      <c r="P3" s="61" t="s">
        <v>66</v>
      </c>
      <c r="Q3" s="61"/>
      <c r="R3" s="61" t="s">
        <v>194</v>
      </c>
      <c r="S3" s="61" t="s">
        <v>66</v>
      </c>
      <c r="T3" s="61"/>
      <c r="U3" s="61" t="s">
        <v>194</v>
      </c>
      <c r="V3" s="61" t="s">
        <v>66</v>
      </c>
      <c r="W3" s="61"/>
      <c r="X3" s="61" t="s">
        <v>194</v>
      </c>
      <c r="Y3" s="61" t="s">
        <v>66</v>
      </c>
      <c r="Z3" s="61"/>
      <c r="AA3" s="61" t="s">
        <v>194</v>
      </c>
      <c r="AB3" s="61" t="s">
        <v>66</v>
      </c>
      <c r="AC3" s="61"/>
      <c r="AD3" s="61" t="s">
        <v>194</v>
      </c>
      <c r="AE3" s="61" t="s">
        <v>66</v>
      </c>
      <c r="AF3" s="61"/>
      <c r="AG3" s="61" t="s">
        <v>194</v>
      </c>
      <c r="AH3" s="61" t="s">
        <v>66</v>
      </c>
      <c r="AI3" s="61"/>
      <c r="AJ3" s="61" t="s">
        <v>65</v>
      </c>
      <c r="AK3" s="61" t="s">
        <v>66</v>
      </c>
      <c r="AL3" s="57"/>
      <c r="AM3" s="80" t="s">
        <v>65</v>
      </c>
      <c r="AN3" s="80" t="s">
        <v>66</v>
      </c>
    </row>
    <row r="4" spans="1:40" ht="18.75" customHeight="1" x14ac:dyDescent="0.2">
      <c r="A4" s="76" t="s">
        <v>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>
        <v>0.01</v>
      </c>
      <c r="R4" s="43">
        <v>0.01</v>
      </c>
      <c r="S4" s="43"/>
      <c r="T4" s="43">
        <v>0.01</v>
      </c>
      <c r="U4" s="43">
        <v>0.1</v>
      </c>
      <c r="V4" s="43"/>
      <c r="W4" s="43"/>
      <c r="X4" s="43"/>
      <c r="Y4" s="43"/>
      <c r="Z4" s="43">
        <v>0</v>
      </c>
      <c r="AA4" s="43">
        <v>0.04</v>
      </c>
      <c r="AB4" s="43"/>
      <c r="AC4" s="43"/>
      <c r="AD4" s="43"/>
      <c r="AE4" s="43"/>
      <c r="AF4" s="43"/>
      <c r="AG4" s="43"/>
      <c r="AH4" s="43"/>
      <c r="AI4" s="43">
        <v>0.02</v>
      </c>
      <c r="AJ4" s="43">
        <v>0.2</v>
      </c>
      <c r="AK4" s="43"/>
      <c r="AL4" s="44">
        <f t="shared" ref="AL4:AL37" si="0">B4+E4+H4+K4+N4+Q4+T4+W4+Z4+AC4+AF4+AI4</f>
        <v>0.04</v>
      </c>
      <c r="AM4" s="44">
        <f t="shared" ref="AM4:AM37" si="1">C4+F4+I4+L4+O4+R4+U4+X4+AA4+AD4+AG4+AJ4</f>
        <v>0.35</v>
      </c>
      <c r="AN4" s="44">
        <f t="shared" ref="AN4:AN37" si="2">D4+G4+J4+M4+P4+S4+V4+Y4+AB4+AE4+AH4+AK4</f>
        <v>0</v>
      </c>
    </row>
    <row r="5" spans="1:40" ht="18.75" customHeight="1" x14ac:dyDescent="0.2">
      <c r="A5" s="76" t="s">
        <v>12</v>
      </c>
      <c r="B5" s="43"/>
      <c r="C5" s="43"/>
      <c r="D5" s="43"/>
      <c r="E5" s="43"/>
      <c r="F5" s="43"/>
      <c r="G5" s="43"/>
      <c r="H5" s="43">
        <v>9.5969999999999995</v>
      </c>
      <c r="I5" s="43">
        <v>95.97</v>
      </c>
      <c r="J5" s="43"/>
      <c r="K5" s="43"/>
      <c r="L5" s="43"/>
      <c r="M5" s="43"/>
      <c r="N5" s="43">
        <v>1.9E-2</v>
      </c>
      <c r="O5" s="43"/>
      <c r="P5" s="43">
        <v>0.125</v>
      </c>
      <c r="Q5" s="43">
        <v>3.496</v>
      </c>
      <c r="R5" s="43">
        <v>17.472999999999999</v>
      </c>
      <c r="S5" s="43"/>
      <c r="T5" s="43">
        <v>4.8019999999999996</v>
      </c>
      <c r="U5" s="43">
        <v>38.411999999999999</v>
      </c>
      <c r="V5" s="43"/>
      <c r="W5" s="43"/>
      <c r="X5" s="43"/>
      <c r="Y5" s="43"/>
      <c r="Z5" s="43">
        <v>2.2999999999999998</v>
      </c>
      <c r="AA5" s="43"/>
      <c r="AB5" s="43">
        <v>53.069230769230771</v>
      </c>
      <c r="AC5" s="43">
        <v>2.3860000000000001</v>
      </c>
      <c r="AD5" s="43">
        <v>14.314</v>
      </c>
      <c r="AE5" s="43"/>
      <c r="AF5" s="43"/>
      <c r="AG5" s="43"/>
      <c r="AH5" s="43"/>
      <c r="AI5" s="43">
        <f>2.01+10.24</f>
        <v>12.25</v>
      </c>
      <c r="AJ5" s="43">
        <f>7.035+51.202</f>
        <v>58.236999999999995</v>
      </c>
      <c r="AK5" s="43"/>
      <c r="AL5" s="44">
        <f t="shared" si="0"/>
        <v>34.85</v>
      </c>
      <c r="AM5" s="44">
        <f t="shared" si="1"/>
        <v>224.40599999999998</v>
      </c>
      <c r="AN5" s="44">
        <f t="shared" si="2"/>
        <v>53.194230769230771</v>
      </c>
    </row>
    <row r="6" spans="1:40" ht="18.75" customHeight="1" x14ac:dyDescent="0.2">
      <c r="A6" s="77" t="s">
        <v>233</v>
      </c>
      <c r="B6" s="43">
        <v>4.5999999999999999E-3</v>
      </c>
      <c r="C6" s="43"/>
      <c r="D6" s="43">
        <v>0.64444444444444449</v>
      </c>
      <c r="E6" s="43"/>
      <c r="F6" s="43"/>
      <c r="G6" s="43"/>
      <c r="H6" s="43"/>
      <c r="I6" s="43"/>
      <c r="J6" s="43"/>
      <c r="K6" s="43">
        <v>4.0000000000000001E-3</v>
      </c>
      <c r="L6" s="43"/>
      <c r="M6" s="43">
        <v>0.50285714285714289</v>
      </c>
      <c r="N6" s="43"/>
      <c r="O6" s="43"/>
      <c r="P6" s="43"/>
      <c r="Q6" s="43"/>
      <c r="R6" s="43"/>
      <c r="S6" s="43"/>
      <c r="T6" s="43">
        <v>0.01</v>
      </c>
      <c r="U6" s="43">
        <v>9.7999999999999997E-3</v>
      </c>
      <c r="V6" s="43"/>
      <c r="W6" s="43"/>
      <c r="X6" s="43"/>
      <c r="Y6" s="43"/>
      <c r="Z6" s="43">
        <v>4.4999999999999997E-3</v>
      </c>
      <c r="AA6" s="43"/>
      <c r="AB6" s="43">
        <v>0.7153846153846154</v>
      </c>
      <c r="AC6" s="43"/>
      <c r="AD6" s="43"/>
      <c r="AE6" s="43"/>
      <c r="AF6" s="43"/>
      <c r="AG6" s="43"/>
      <c r="AH6" s="43"/>
      <c r="AI6" s="43"/>
      <c r="AJ6" s="43"/>
      <c r="AK6" s="43"/>
      <c r="AL6" s="44">
        <f t="shared" si="0"/>
        <v>2.3099999999999999E-2</v>
      </c>
      <c r="AM6" s="44">
        <f t="shared" si="1"/>
        <v>9.7999999999999997E-3</v>
      </c>
      <c r="AN6" s="44">
        <f t="shared" si="2"/>
        <v>1.862686202686203</v>
      </c>
    </row>
    <row r="7" spans="1:40" ht="18.75" customHeight="1" x14ac:dyDescent="0.2">
      <c r="A7" s="76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>
        <v>1.8</v>
      </c>
      <c r="AJ7" s="43">
        <v>11.7</v>
      </c>
      <c r="AK7" s="43">
        <v>20.833333333333332</v>
      </c>
      <c r="AL7" s="44">
        <f t="shared" si="0"/>
        <v>1.8</v>
      </c>
      <c r="AM7" s="44">
        <f t="shared" si="1"/>
        <v>11.7</v>
      </c>
      <c r="AN7" s="44">
        <f t="shared" si="2"/>
        <v>20.833333333333332</v>
      </c>
    </row>
    <row r="8" spans="1:40" ht="18.75" customHeight="1" x14ac:dyDescent="0.2">
      <c r="A8" s="76" t="s">
        <v>15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>
        <f>0.18+0.84</f>
        <v>1.02</v>
      </c>
      <c r="AJ8" s="43">
        <v>10.151999999999999</v>
      </c>
      <c r="AK8" s="43">
        <v>1.8</v>
      </c>
      <c r="AL8" s="44">
        <f t="shared" si="0"/>
        <v>1.02</v>
      </c>
      <c r="AM8" s="44">
        <f t="shared" si="1"/>
        <v>10.151999999999999</v>
      </c>
      <c r="AN8" s="44">
        <f t="shared" si="2"/>
        <v>1.8</v>
      </c>
    </row>
    <row r="9" spans="1:40" ht="18.75" customHeight="1" x14ac:dyDescent="0.2">
      <c r="A9" s="76" t="s">
        <v>226</v>
      </c>
      <c r="B9" s="43"/>
      <c r="C9" s="43"/>
      <c r="D9" s="43"/>
      <c r="E9" s="43"/>
      <c r="F9" s="43"/>
      <c r="G9" s="43"/>
      <c r="H9" s="43">
        <v>0.25</v>
      </c>
      <c r="I9" s="43">
        <v>0.74</v>
      </c>
      <c r="J9" s="43"/>
      <c r="K9" s="43"/>
      <c r="L9" s="43"/>
      <c r="M9" s="43"/>
      <c r="N9" s="43">
        <v>1.98</v>
      </c>
      <c r="O9" s="43">
        <v>5.18</v>
      </c>
      <c r="P9" s="43"/>
      <c r="Q9" s="43">
        <v>0.03</v>
      </c>
      <c r="R9" s="43">
        <v>0.05</v>
      </c>
      <c r="S9" s="43"/>
      <c r="T9" s="43">
        <v>3.13</v>
      </c>
      <c r="U9" s="43">
        <v>19.93</v>
      </c>
      <c r="V9" s="43"/>
      <c r="W9" s="43"/>
      <c r="X9" s="43"/>
      <c r="Y9" s="43"/>
      <c r="Z9" s="43">
        <v>1</v>
      </c>
      <c r="AA9" s="43">
        <v>2.4</v>
      </c>
      <c r="AB9" s="43"/>
      <c r="AC9" s="43">
        <v>1.79</v>
      </c>
      <c r="AD9" s="43">
        <v>5.91</v>
      </c>
      <c r="AE9" s="43"/>
      <c r="AF9" s="43"/>
      <c r="AG9" s="43"/>
      <c r="AH9" s="43"/>
      <c r="AI9" s="43">
        <f>0.22+1.39</f>
        <v>1.6099999999999999</v>
      </c>
      <c r="AJ9" s="43">
        <f>0.96+2.58</f>
        <v>3.54</v>
      </c>
      <c r="AK9" s="43"/>
      <c r="AL9" s="44">
        <f t="shared" si="0"/>
        <v>9.7899999999999991</v>
      </c>
      <c r="AM9" s="44">
        <f t="shared" si="1"/>
        <v>37.749999999999993</v>
      </c>
      <c r="AN9" s="44">
        <f t="shared" si="2"/>
        <v>0</v>
      </c>
    </row>
    <row r="10" spans="1:40" ht="18.75" customHeight="1" x14ac:dyDescent="0.2">
      <c r="A10" s="76" t="s">
        <v>16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4">
        <f t="shared" si="0"/>
        <v>0</v>
      </c>
      <c r="AM10" s="44">
        <f t="shared" si="1"/>
        <v>0</v>
      </c>
      <c r="AN10" s="44">
        <f t="shared" si="2"/>
        <v>0</v>
      </c>
    </row>
    <row r="11" spans="1:40" ht="18.75" customHeight="1" x14ac:dyDescent="0.2">
      <c r="A11" s="76" t="s">
        <v>17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4">
        <f t="shared" si="0"/>
        <v>0</v>
      </c>
      <c r="AM11" s="44">
        <f t="shared" si="1"/>
        <v>0</v>
      </c>
      <c r="AN11" s="44">
        <f t="shared" si="2"/>
        <v>0</v>
      </c>
    </row>
    <row r="12" spans="1:40" ht="18.75" customHeight="1" x14ac:dyDescent="0.2">
      <c r="A12" s="76" t="s">
        <v>18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>
        <v>5.5</v>
      </c>
      <c r="AJ12" s="43">
        <v>5.7</v>
      </c>
      <c r="AK12" s="43">
        <v>5.7666666666666666</v>
      </c>
      <c r="AL12" s="44">
        <f t="shared" si="0"/>
        <v>5.5</v>
      </c>
      <c r="AM12" s="44">
        <f t="shared" si="1"/>
        <v>5.7</v>
      </c>
      <c r="AN12" s="44">
        <f t="shared" si="2"/>
        <v>5.7666666666666666</v>
      </c>
    </row>
    <row r="13" spans="1:40" ht="18.75" customHeight="1" x14ac:dyDescent="0.2">
      <c r="A13" s="76" t="s">
        <v>19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4">
        <f t="shared" si="0"/>
        <v>0</v>
      </c>
      <c r="AM13" s="44">
        <f t="shared" si="1"/>
        <v>0</v>
      </c>
      <c r="AN13" s="44">
        <f t="shared" si="2"/>
        <v>0</v>
      </c>
    </row>
    <row r="14" spans="1:40" ht="18.75" customHeight="1" x14ac:dyDescent="0.2">
      <c r="A14" s="76" t="s">
        <v>20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>
        <v>7.01</v>
      </c>
      <c r="U14" s="43">
        <v>66.540000000000006</v>
      </c>
      <c r="V14" s="43"/>
      <c r="W14" s="43"/>
      <c r="X14" s="43"/>
      <c r="Y14" s="43"/>
      <c r="Z14" s="43">
        <v>4.42</v>
      </c>
      <c r="AA14" s="43">
        <v>35.479999999999997</v>
      </c>
      <c r="AB14" s="43"/>
      <c r="AC14" s="43"/>
      <c r="AD14" s="43"/>
      <c r="AE14" s="43"/>
      <c r="AF14" s="43"/>
      <c r="AG14" s="43"/>
      <c r="AH14" s="43"/>
      <c r="AI14" s="43">
        <v>5.84</v>
      </c>
      <c r="AJ14" s="43">
        <v>47.25</v>
      </c>
      <c r="AK14" s="43"/>
      <c r="AL14" s="44">
        <f t="shared" si="0"/>
        <v>17.27</v>
      </c>
      <c r="AM14" s="44">
        <f t="shared" si="1"/>
        <v>149.27000000000001</v>
      </c>
      <c r="AN14" s="44">
        <f t="shared" si="2"/>
        <v>0</v>
      </c>
    </row>
    <row r="15" spans="1:40" ht="18.75" customHeight="1" x14ac:dyDescent="0.2">
      <c r="A15" s="76" t="s">
        <v>21</v>
      </c>
      <c r="B15" s="43"/>
      <c r="C15" s="43"/>
      <c r="D15" s="43"/>
      <c r="E15" s="43"/>
      <c r="F15" s="43"/>
      <c r="G15" s="43"/>
      <c r="H15" s="43">
        <v>0.11</v>
      </c>
      <c r="I15" s="43">
        <v>0.4</v>
      </c>
      <c r="J15" s="43">
        <v>0.11294444444444443</v>
      </c>
      <c r="K15" s="43">
        <v>4.0000000000000001E-3</v>
      </c>
      <c r="L15" s="43"/>
      <c r="M15" s="43">
        <v>1.3714285714285714E-2</v>
      </c>
      <c r="N15" s="43">
        <v>0.64</v>
      </c>
      <c r="O15" s="43"/>
      <c r="P15" s="43">
        <v>10.336875000000001</v>
      </c>
      <c r="Q15" s="43"/>
      <c r="R15" s="43"/>
      <c r="S15" s="43"/>
      <c r="T15" s="43">
        <v>5.37</v>
      </c>
      <c r="U15" s="43">
        <v>63.73</v>
      </c>
      <c r="V15" s="43"/>
      <c r="W15" s="43"/>
      <c r="X15" s="43"/>
      <c r="Y15" s="43"/>
      <c r="Z15" s="43">
        <v>0.12</v>
      </c>
      <c r="AA15" s="43">
        <v>0.39</v>
      </c>
      <c r="AB15" s="43">
        <v>1.19</v>
      </c>
      <c r="AC15" s="43">
        <v>0.12</v>
      </c>
      <c r="AD15" s="43"/>
      <c r="AE15" s="43">
        <v>0.72666666666666668</v>
      </c>
      <c r="AF15" s="43"/>
      <c r="AG15" s="43"/>
      <c r="AH15" s="43"/>
      <c r="AI15" s="43">
        <f>0.002+0.1</f>
        <v>0.10200000000000001</v>
      </c>
      <c r="AJ15" s="43">
        <v>0.2</v>
      </c>
      <c r="AK15" s="43">
        <v>0.75222222222222224</v>
      </c>
      <c r="AL15" s="44">
        <f t="shared" si="0"/>
        <v>6.4660000000000011</v>
      </c>
      <c r="AM15" s="44">
        <f t="shared" si="1"/>
        <v>64.72</v>
      </c>
      <c r="AN15" s="44">
        <f t="shared" si="2"/>
        <v>13.13242261904762</v>
      </c>
    </row>
    <row r="16" spans="1:40" ht="18.75" customHeight="1" x14ac:dyDescent="0.2">
      <c r="A16" s="76" t="s">
        <v>22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>
        <f>0.345+0.569</f>
        <v>0.91399999999999992</v>
      </c>
      <c r="AJ16" s="43">
        <v>37.707000000000001</v>
      </c>
      <c r="AK16" s="43">
        <v>9.7794444444444437</v>
      </c>
      <c r="AL16" s="44">
        <f t="shared" si="0"/>
        <v>0.91399999999999992</v>
      </c>
      <c r="AM16" s="44">
        <f t="shared" si="1"/>
        <v>37.707000000000001</v>
      </c>
      <c r="AN16" s="44">
        <f t="shared" si="2"/>
        <v>9.7794444444444437</v>
      </c>
    </row>
    <row r="17" spans="1:40" ht="18.75" customHeight="1" x14ac:dyDescent="0.2">
      <c r="A17" s="76" t="s">
        <v>23</v>
      </c>
      <c r="B17" s="43">
        <v>3.5E-4</v>
      </c>
      <c r="C17" s="43">
        <v>2.0000000000000001E-4</v>
      </c>
      <c r="D17" s="43"/>
      <c r="E17" s="43">
        <v>4.0000000000000001E-3</v>
      </c>
      <c r="F17" s="43"/>
      <c r="G17" s="43">
        <v>0.11904761904761904</v>
      </c>
      <c r="H17" s="43">
        <v>5.0000000000000001E-4</v>
      </c>
      <c r="I17" s="43"/>
      <c r="J17" s="43">
        <v>5.6944444444444443E-2</v>
      </c>
      <c r="K17" s="43">
        <v>2E-3</v>
      </c>
      <c r="L17" s="43"/>
      <c r="M17" s="43">
        <v>2.8571428571428571E-2</v>
      </c>
      <c r="N17" s="43">
        <f>0.03+0.0075</f>
        <v>3.7499999999999999E-2</v>
      </c>
      <c r="O17" s="43"/>
      <c r="P17" s="43">
        <v>0.86999999999999988</v>
      </c>
      <c r="Q17" s="43">
        <v>5.0000000000000001E-4</v>
      </c>
      <c r="R17" s="43">
        <v>1.0000000000000001E-5</v>
      </c>
      <c r="S17" s="43"/>
      <c r="T17" s="43">
        <f>0.015+0.716</f>
        <v>0.73099999999999998</v>
      </c>
      <c r="U17" s="43">
        <f>0.31+0.017</f>
        <v>0.32700000000000001</v>
      </c>
      <c r="V17" s="43"/>
      <c r="W17" s="43"/>
      <c r="X17" s="43"/>
      <c r="Y17" s="43"/>
      <c r="Z17" s="43">
        <v>1.9E-2</v>
      </c>
      <c r="AA17" s="43"/>
      <c r="AB17" s="43">
        <v>0.255</v>
      </c>
      <c r="AC17" s="43">
        <f>0.0002+0.0003</f>
        <v>5.0000000000000001E-4</v>
      </c>
      <c r="AD17" s="43">
        <f>0.00003</f>
        <v>3.0000000000000001E-5</v>
      </c>
      <c r="AE17" s="43"/>
      <c r="AF17" s="43">
        <v>1.7999999999999999E-2</v>
      </c>
      <c r="AG17" s="43"/>
      <c r="AH17" s="43">
        <v>0.25055555555555559</v>
      </c>
      <c r="AI17" s="43">
        <f>0.001+0.02+0.0015+0.011+0.002+0.005+0.00005</f>
        <v>4.0550000000000003E-2</v>
      </c>
      <c r="AJ17" s="43">
        <f>0.06+0.015</f>
        <v>7.4999999999999997E-2</v>
      </c>
      <c r="AK17" s="43">
        <v>0.18441666666666667</v>
      </c>
      <c r="AL17" s="44">
        <f t="shared" si="0"/>
        <v>0.85389999999999988</v>
      </c>
      <c r="AM17" s="44">
        <f t="shared" si="1"/>
        <v>0.40223999999999999</v>
      </c>
      <c r="AN17" s="44">
        <f t="shared" si="2"/>
        <v>1.7645357142857143</v>
      </c>
    </row>
    <row r="18" spans="1:40" ht="18.75" customHeight="1" x14ac:dyDescent="0.2">
      <c r="A18" s="76" t="s">
        <v>24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>
        <v>1.6</v>
      </c>
      <c r="AJ18" s="43">
        <v>22.026</v>
      </c>
      <c r="AK18" s="43">
        <v>9.5055555555555564</v>
      </c>
      <c r="AL18" s="44">
        <f t="shared" si="0"/>
        <v>1.6</v>
      </c>
      <c r="AM18" s="44">
        <f t="shared" si="1"/>
        <v>22.026</v>
      </c>
      <c r="AN18" s="44">
        <f t="shared" si="2"/>
        <v>9.5055555555555564</v>
      </c>
    </row>
    <row r="19" spans="1:40" ht="18.75" customHeight="1" x14ac:dyDescent="0.2">
      <c r="A19" s="76" t="s">
        <v>25</v>
      </c>
      <c r="B19" s="43"/>
      <c r="C19" s="43"/>
      <c r="D19" s="43">
        <v>4.0555555555555553E-2</v>
      </c>
      <c r="E19" s="43"/>
      <c r="F19" s="43"/>
      <c r="G19" s="43">
        <v>0.54619047619047623</v>
      </c>
      <c r="H19" s="43">
        <v>5.4</v>
      </c>
      <c r="I19" s="43">
        <v>66.5</v>
      </c>
      <c r="J19" s="43"/>
      <c r="K19" s="43"/>
      <c r="L19" s="43"/>
      <c r="M19" s="43">
        <v>0.59542857142857142</v>
      </c>
      <c r="N19" s="43">
        <v>0.2</v>
      </c>
      <c r="O19" s="43"/>
      <c r="P19" s="43">
        <v>8.18</v>
      </c>
      <c r="Q19" s="43">
        <v>4.8</v>
      </c>
      <c r="R19" s="43">
        <v>29.3</v>
      </c>
      <c r="S19" s="43"/>
      <c r="T19" s="43">
        <v>8.5</v>
      </c>
      <c r="U19" s="43">
        <v>74</v>
      </c>
      <c r="V19" s="43"/>
      <c r="W19" s="43"/>
      <c r="X19" s="43"/>
      <c r="Y19" s="43"/>
      <c r="Z19" s="43">
        <v>2.8</v>
      </c>
      <c r="AA19" s="43"/>
      <c r="AB19" s="43">
        <v>54.861538461538458</v>
      </c>
      <c r="AC19" s="43">
        <f>1.8+0.3</f>
        <v>2.1</v>
      </c>
      <c r="AD19" s="43"/>
      <c r="AE19" s="43">
        <v>7.9394444444444439</v>
      </c>
      <c r="AF19" s="43"/>
      <c r="AG19" s="43"/>
      <c r="AH19" s="43"/>
      <c r="AI19" s="43">
        <v>5.9</v>
      </c>
      <c r="AJ19" s="43">
        <v>37.700000000000003</v>
      </c>
      <c r="AK19" s="43"/>
      <c r="AL19" s="44">
        <f t="shared" si="0"/>
        <v>29.700000000000003</v>
      </c>
      <c r="AM19" s="44">
        <f t="shared" si="1"/>
        <v>207.5</v>
      </c>
      <c r="AN19" s="44">
        <f t="shared" si="2"/>
        <v>72.163157509157514</v>
      </c>
    </row>
    <row r="20" spans="1:40" ht="18.75" customHeight="1" x14ac:dyDescent="0.2">
      <c r="A20" s="76" t="s">
        <v>26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4">
        <f t="shared" si="0"/>
        <v>0</v>
      </c>
      <c r="AM20" s="44">
        <f t="shared" si="1"/>
        <v>0</v>
      </c>
      <c r="AN20" s="44">
        <f t="shared" si="2"/>
        <v>0</v>
      </c>
    </row>
    <row r="21" spans="1:40" ht="18.75" customHeight="1" x14ac:dyDescent="0.2">
      <c r="A21" s="76" t="s">
        <v>58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>
        <f t="shared" si="0"/>
        <v>0</v>
      </c>
      <c r="AM21" s="44">
        <f t="shared" si="1"/>
        <v>0</v>
      </c>
      <c r="AN21" s="44">
        <f t="shared" si="2"/>
        <v>0</v>
      </c>
    </row>
    <row r="22" spans="1:40" ht="18.75" customHeight="1" x14ac:dyDescent="0.2">
      <c r="A22" s="76" t="s">
        <v>27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>
        <v>16.515000000000001</v>
      </c>
      <c r="AJ22" s="43">
        <v>193</v>
      </c>
      <c r="AK22" s="43">
        <v>0</v>
      </c>
      <c r="AL22" s="44">
        <f t="shared" si="0"/>
        <v>16.515000000000001</v>
      </c>
      <c r="AM22" s="44">
        <f t="shared" si="1"/>
        <v>193</v>
      </c>
      <c r="AN22" s="44">
        <f t="shared" si="2"/>
        <v>0</v>
      </c>
    </row>
    <row r="23" spans="1:40" ht="18.75" customHeight="1" x14ac:dyDescent="0.2">
      <c r="A23" s="76" t="s">
        <v>28</v>
      </c>
      <c r="B23" s="43"/>
      <c r="C23" s="43"/>
      <c r="D23" s="43"/>
      <c r="E23" s="43"/>
      <c r="F23" s="43"/>
      <c r="G23" s="43"/>
      <c r="H23" s="43">
        <v>3</v>
      </c>
      <c r="I23" s="43">
        <v>12</v>
      </c>
      <c r="J23" s="43"/>
      <c r="K23" s="43"/>
      <c r="L23" s="43"/>
      <c r="M23" s="43"/>
      <c r="N23" s="43">
        <v>1</v>
      </c>
      <c r="O23" s="43">
        <v>7</v>
      </c>
      <c r="P23" s="43"/>
      <c r="Q23" s="43">
        <v>2</v>
      </c>
      <c r="R23" s="43">
        <v>4</v>
      </c>
      <c r="S23" s="43"/>
      <c r="T23" s="43">
        <v>7</v>
      </c>
      <c r="U23" s="43">
        <v>65</v>
      </c>
      <c r="V23" s="43"/>
      <c r="W23" s="43"/>
      <c r="X23" s="43"/>
      <c r="Y23" s="43"/>
      <c r="Z23" s="43">
        <v>6</v>
      </c>
      <c r="AA23" s="43">
        <v>13</v>
      </c>
      <c r="AB23" s="43"/>
      <c r="AC23" s="43">
        <v>1</v>
      </c>
      <c r="AD23" s="43">
        <v>6</v>
      </c>
      <c r="AE23" s="43"/>
      <c r="AF23" s="43"/>
      <c r="AG23" s="43"/>
      <c r="AH23" s="43"/>
      <c r="AI23" s="43">
        <v>2</v>
      </c>
      <c r="AJ23" s="43">
        <v>12</v>
      </c>
      <c r="AK23" s="43">
        <v>43.966666666666669</v>
      </c>
      <c r="AL23" s="44">
        <f t="shared" si="0"/>
        <v>22</v>
      </c>
      <c r="AM23" s="44">
        <f t="shared" si="1"/>
        <v>119</v>
      </c>
      <c r="AN23" s="44">
        <f t="shared" si="2"/>
        <v>43.966666666666669</v>
      </c>
    </row>
    <row r="24" spans="1:40" ht="18.75" customHeight="1" x14ac:dyDescent="0.2">
      <c r="A24" s="78" t="s">
        <v>29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>
        <v>0</v>
      </c>
      <c r="AL24" s="44">
        <f t="shared" si="0"/>
        <v>0</v>
      </c>
      <c r="AM24" s="44">
        <f t="shared" si="1"/>
        <v>0</v>
      </c>
      <c r="AN24" s="44">
        <f t="shared" si="2"/>
        <v>0</v>
      </c>
    </row>
    <row r="25" spans="1:40" ht="18.75" customHeight="1" x14ac:dyDescent="0.2">
      <c r="A25" s="76" t="s">
        <v>30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4">
        <f t="shared" si="0"/>
        <v>0</v>
      </c>
      <c r="AM25" s="44">
        <f t="shared" si="1"/>
        <v>0</v>
      </c>
      <c r="AN25" s="44">
        <f t="shared" si="2"/>
        <v>0</v>
      </c>
    </row>
    <row r="26" spans="1:40" ht="18.75" customHeight="1" x14ac:dyDescent="0.2">
      <c r="A26" s="76" t="s">
        <v>31</v>
      </c>
      <c r="B26" s="43">
        <v>5.0999999999999997E-2</v>
      </c>
      <c r="C26" s="43"/>
      <c r="D26" s="43">
        <v>0.78483333333333338</v>
      </c>
      <c r="E26" s="43"/>
      <c r="F26" s="43"/>
      <c r="G26" s="43"/>
      <c r="H26" s="43"/>
      <c r="I26" s="43"/>
      <c r="J26" s="43"/>
      <c r="K26" s="43">
        <v>2.3E-2</v>
      </c>
      <c r="L26" s="43"/>
      <c r="M26" s="43">
        <v>0.18400000000000002</v>
      </c>
      <c r="N26" s="43"/>
      <c r="O26" s="43"/>
      <c r="P26" s="43"/>
      <c r="Q26" s="43"/>
      <c r="R26" s="43"/>
      <c r="S26" s="43"/>
      <c r="T26" s="43"/>
      <c r="U26" s="43"/>
      <c r="V26" s="43"/>
      <c r="W26" s="43">
        <v>1.2E-2</v>
      </c>
      <c r="X26" s="43"/>
      <c r="Y26" s="43"/>
      <c r="Z26" s="43">
        <v>0.01</v>
      </c>
      <c r="AA26" s="43"/>
      <c r="AB26" s="43">
        <v>0.35230769230769227</v>
      </c>
      <c r="AC26" s="43"/>
      <c r="AD26" s="43"/>
      <c r="AE26" s="43"/>
      <c r="AF26" s="43"/>
      <c r="AG26" s="43"/>
      <c r="AH26" s="43"/>
      <c r="AI26" s="43">
        <v>6.7000000000000004E-2</v>
      </c>
      <c r="AJ26" s="43">
        <v>166.83</v>
      </c>
      <c r="AK26" s="43">
        <v>2.1437222222222223</v>
      </c>
      <c r="AL26" s="44">
        <f t="shared" si="0"/>
        <v>0.16299999999999998</v>
      </c>
      <c r="AM26" s="44">
        <f t="shared" si="1"/>
        <v>166.83</v>
      </c>
      <c r="AN26" s="44">
        <f t="shared" si="2"/>
        <v>3.464863247863248</v>
      </c>
    </row>
    <row r="27" spans="1:40" ht="18.75" customHeight="1" x14ac:dyDescent="0.2">
      <c r="A27" s="77" t="s">
        <v>32</v>
      </c>
      <c r="B27" s="43">
        <v>2.9199999999999999E-3</v>
      </c>
      <c r="C27" s="43"/>
      <c r="D27" s="43">
        <v>0.28444444444444444</v>
      </c>
      <c r="E27" s="43"/>
      <c r="F27" s="43"/>
      <c r="G27" s="43"/>
      <c r="H27" s="43"/>
      <c r="I27" s="43"/>
      <c r="J27" s="43"/>
      <c r="K27" s="43">
        <v>4.0000000000000002E-4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>
        <v>1.82E-3</v>
      </c>
      <c r="AA27" s="43"/>
      <c r="AB27" s="43">
        <v>0.12394615384615384</v>
      </c>
      <c r="AC27" s="43"/>
      <c r="AD27" s="43"/>
      <c r="AE27" s="43"/>
      <c r="AF27" s="43"/>
      <c r="AG27" s="43"/>
      <c r="AH27" s="43"/>
      <c r="AI27" s="43">
        <f>0.00188+0.00112</f>
        <v>3.0000000000000001E-3</v>
      </c>
      <c r="AJ27" s="43"/>
      <c r="AK27" s="43">
        <v>0.16083333333333336</v>
      </c>
      <c r="AL27" s="44">
        <f t="shared" si="0"/>
        <v>8.1400000000000014E-3</v>
      </c>
      <c r="AM27" s="44">
        <f t="shared" si="1"/>
        <v>0</v>
      </c>
      <c r="AN27" s="44">
        <f t="shared" si="2"/>
        <v>0.5692239316239317</v>
      </c>
    </row>
    <row r="28" spans="1:40" ht="18.75" customHeight="1" x14ac:dyDescent="0.2">
      <c r="A28" s="76" t="s">
        <v>209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>
        <v>2.37</v>
      </c>
      <c r="O28" s="43"/>
      <c r="P28" s="43">
        <v>29.375</v>
      </c>
      <c r="Q28" s="43"/>
      <c r="R28" s="43"/>
      <c r="S28" s="43"/>
      <c r="T28" s="43">
        <v>2.69</v>
      </c>
      <c r="U28" s="43">
        <v>24.707000000000001</v>
      </c>
      <c r="V28" s="43"/>
      <c r="W28" s="43"/>
      <c r="X28" s="43"/>
      <c r="Y28" s="43"/>
      <c r="Z28" s="43">
        <v>1.91</v>
      </c>
      <c r="AA28" s="43"/>
      <c r="AB28" s="43">
        <v>28.384615384615383</v>
      </c>
      <c r="AC28" s="43">
        <v>0.55000000000000004</v>
      </c>
      <c r="AD28" s="43">
        <v>1.4550000000000001</v>
      </c>
      <c r="AE28" s="43"/>
      <c r="AF28" s="43"/>
      <c r="AG28" s="43"/>
      <c r="AH28" s="43"/>
      <c r="AI28" s="43"/>
      <c r="AJ28" s="43"/>
      <c r="AK28" s="43"/>
      <c r="AL28" s="44">
        <f t="shared" si="0"/>
        <v>7.5200000000000005</v>
      </c>
      <c r="AM28" s="44">
        <f t="shared" si="1"/>
        <v>26.161999999999999</v>
      </c>
      <c r="AN28" s="44">
        <f t="shared" si="2"/>
        <v>57.759615384615387</v>
      </c>
    </row>
    <row r="29" spans="1:40" ht="18.75" customHeight="1" x14ac:dyDescent="0.2">
      <c r="A29" s="77" t="s">
        <v>181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>
        <v>1.2999999999999999E-2</v>
      </c>
      <c r="R29" s="43">
        <v>6.0999999999999999E-2</v>
      </c>
      <c r="S29" s="43"/>
      <c r="T29" s="43">
        <v>4.5999999999999999E-2</v>
      </c>
      <c r="U29" s="43">
        <v>0.29799999999999999</v>
      </c>
      <c r="V29" s="43"/>
      <c r="W29" s="43"/>
      <c r="X29" s="43"/>
      <c r="Y29" s="43"/>
      <c r="Z29" s="43">
        <v>2E-3</v>
      </c>
      <c r="AA29" s="43">
        <v>5.0000000000000001E-3</v>
      </c>
      <c r="AB29" s="43"/>
      <c r="AC29" s="43">
        <v>6.0000000000000001E-3</v>
      </c>
      <c r="AD29" s="43">
        <v>2.5999999999999999E-2</v>
      </c>
      <c r="AE29" s="43"/>
      <c r="AF29" s="43"/>
      <c r="AG29" s="43"/>
      <c r="AH29" s="43"/>
      <c r="AI29" s="43">
        <v>8.9999999999999993E-3</v>
      </c>
      <c r="AJ29" s="43">
        <v>3.6999999999999998E-2</v>
      </c>
      <c r="AK29" s="43"/>
      <c r="AL29" s="44">
        <f t="shared" si="0"/>
        <v>7.5999999999999998E-2</v>
      </c>
      <c r="AM29" s="44">
        <f t="shared" si="1"/>
        <v>0.42699999999999999</v>
      </c>
      <c r="AN29" s="44">
        <f t="shared" si="2"/>
        <v>0</v>
      </c>
    </row>
    <row r="30" spans="1:40" ht="18.75" customHeight="1" x14ac:dyDescent="0.2">
      <c r="A30" s="76" t="s">
        <v>33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>
        <f>1.34+0.77</f>
        <v>2.1100000000000003</v>
      </c>
      <c r="AJ30" s="43">
        <f>10.38+0.07</f>
        <v>10.450000000000001</v>
      </c>
      <c r="AK30" s="43"/>
      <c r="AL30" s="44">
        <f t="shared" si="0"/>
        <v>2.1100000000000003</v>
      </c>
      <c r="AM30" s="44">
        <f t="shared" si="1"/>
        <v>10.450000000000001</v>
      </c>
      <c r="AN30" s="44">
        <f t="shared" si="2"/>
        <v>0</v>
      </c>
    </row>
    <row r="31" spans="1:40" ht="18.75" customHeight="1" x14ac:dyDescent="0.2">
      <c r="A31" s="76" t="s">
        <v>34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>
        <v>3.4340000000000002</v>
      </c>
      <c r="AJ31" s="43">
        <v>3.7189999999999999</v>
      </c>
      <c r="AK31" s="43"/>
      <c r="AL31" s="44">
        <f t="shared" si="0"/>
        <v>3.4340000000000002</v>
      </c>
      <c r="AM31" s="44">
        <f t="shared" si="1"/>
        <v>3.7189999999999999</v>
      </c>
      <c r="AN31" s="44">
        <f t="shared" si="2"/>
        <v>0</v>
      </c>
    </row>
    <row r="32" spans="1:40" ht="18.75" customHeight="1" x14ac:dyDescent="0.2">
      <c r="A32" s="76" t="s">
        <v>35</v>
      </c>
      <c r="B32" s="43">
        <v>8.9999999999999993E-3</v>
      </c>
      <c r="C32" s="43"/>
      <c r="D32" s="43">
        <v>2.5000000000000001E-2</v>
      </c>
      <c r="E32" s="43">
        <v>7.0000000000000001E-3</v>
      </c>
      <c r="F32" s="43"/>
      <c r="G32" s="43">
        <v>4.2857142857142858E-2</v>
      </c>
      <c r="H32" s="43"/>
      <c r="I32" s="43"/>
      <c r="J32" s="43"/>
      <c r="K32" s="43">
        <v>0.03</v>
      </c>
      <c r="L32" s="43"/>
      <c r="M32" s="43">
        <v>9.7142857142857142E-2</v>
      </c>
      <c r="N32" s="43">
        <v>2.9000000000000001E-2</v>
      </c>
      <c r="O32" s="43"/>
      <c r="P32" s="43">
        <v>0.8125</v>
      </c>
      <c r="Q32" s="43"/>
      <c r="R32" s="43"/>
      <c r="S32" s="43"/>
      <c r="T32" s="43"/>
      <c r="U32" s="43"/>
      <c r="V32" s="43"/>
      <c r="W32" s="43"/>
      <c r="X32" s="43"/>
      <c r="Y32" s="43"/>
      <c r="Z32" s="43">
        <v>2.3E-2</v>
      </c>
      <c r="AA32" s="43"/>
      <c r="AB32" s="43">
        <v>0.17692307692307693</v>
      </c>
      <c r="AC32" s="43"/>
      <c r="AD32" s="43"/>
      <c r="AE32" s="43"/>
      <c r="AF32" s="43"/>
      <c r="AG32" s="43"/>
      <c r="AH32" s="43"/>
      <c r="AI32" s="43">
        <f>0.035+0.015+0.018+0.039+0.017</f>
        <v>0.12400000000000001</v>
      </c>
      <c r="AJ32" s="43">
        <v>26.5</v>
      </c>
      <c r="AK32" s="43">
        <v>0.53111111111111109</v>
      </c>
      <c r="AL32" s="44">
        <f t="shared" si="0"/>
        <v>0.22200000000000003</v>
      </c>
      <c r="AM32" s="44">
        <f t="shared" si="1"/>
        <v>26.5</v>
      </c>
      <c r="AN32" s="44">
        <f t="shared" si="2"/>
        <v>1.6855341880341881</v>
      </c>
    </row>
    <row r="33" spans="1:40" ht="18.75" customHeight="1" x14ac:dyDescent="0.2">
      <c r="A33" s="76" t="s">
        <v>36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>
        <v>28.71</v>
      </c>
      <c r="AJ33" s="43">
        <v>312.97000000000003</v>
      </c>
      <c r="AK33" s="43">
        <v>6.4888888888888889</v>
      </c>
      <c r="AL33" s="44">
        <f t="shared" si="0"/>
        <v>28.71</v>
      </c>
      <c r="AM33" s="44">
        <f t="shared" si="1"/>
        <v>312.97000000000003</v>
      </c>
      <c r="AN33" s="44">
        <f t="shared" si="2"/>
        <v>6.4888888888888889</v>
      </c>
    </row>
    <row r="34" spans="1:40" ht="18.75" customHeight="1" x14ac:dyDescent="0.2">
      <c r="A34" s="76" t="s">
        <v>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>
        <f t="shared" si="0"/>
        <v>0</v>
      </c>
      <c r="AM34" s="44">
        <f t="shared" si="1"/>
        <v>0</v>
      </c>
      <c r="AN34" s="44">
        <f t="shared" si="2"/>
        <v>0</v>
      </c>
    </row>
    <row r="35" spans="1:40" ht="18.75" customHeight="1" x14ac:dyDescent="0.2">
      <c r="A35" s="76" t="s">
        <v>38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>
        <v>3.0920000000000001</v>
      </c>
      <c r="O35" s="43"/>
      <c r="P35" s="43">
        <v>38.65</v>
      </c>
      <c r="Q35" s="43"/>
      <c r="R35" s="43"/>
      <c r="S35" s="43"/>
      <c r="T35" s="43">
        <v>3.5760000000000001</v>
      </c>
      <c r="U35" s="43">
        <v>7.1520000000000001</v>
      </c>
      <c r="V35" s="43"/>
      <c r="W35" s="43"/>
      <c r="X35" s="43"/>
      <c r="Y35" s="43"/>
      <c r="Z35" s="43">
        <f>7.704+1.816</f>
        <v>9.52</v>
      </c>
      <c r="AA35" s="43">
        <v>24.341999999999999</v>
      </c>
      <c r="AB35" s="43">
        <v>13.969230769230769</v>
      </c>
      <c r="AC35" s="43"/>
      <c r="AD35" s="43"/>
      <c r="AE35" s="43"/>
      <c r="AF35" s="43"/>
      <c r="AG35" s="43"/>
      <c r="AH35" s="43"/>
      <c r="AI35" s="43"/>
      <c r="AJ35" s="43"/>
      <c r="AK35" s="43"/>
      <c r="AL35" s="44">
        <f t="shared" si="0"/>
        <v>16.187999999999999</v>
      </c>
      <c r="AM35" s="44">
        <f t="shared" si="1"/>
        <v>31.494</v>
      </c>
      <c r="AN35" s="44">
        <f t="shared" si="2"/>
        <v>52.619230769230768</v>
      </c>
    </row>
    <row r="36" spans="1:40" ht="18.75" customHeight="1" x14ac:dyDescent="0.2">
      <c r="A36" s="76" t="s">
        <v>98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>
        <f>0.607+0.954</f>
        <v>1.5609999999999999</v>
      </c>
      <c r="AJ36" s="43">
        <v>1.8240000000000001</v>
      </c>
      <c r="AK36" s="43">
        <v>20.183333333333334</v>
      </c>
      <c r="AL36" s="44">
        <f t="shared" si="0"/>
        <v>1.5609999999999999</v>
      </c>
      <c r="AM36" s="44">
        <f t="shared" si="1"/>
        <v>1.8240000000000001</v>
      </c>
      <c r="AN36" s="44">
        <f t="shared" si="2"/>
        <v>20.183333333333334</v>
      </c>
    </row>
    <row r="37" spans="1:40" ht="18.75" customHeight="1" x14ac:dyDescent="0.2">
      <c r="A37" s="76" t="s">
        <v>40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>
        <f>10.045+14.365</f>
        <v>24.41</v>
      </c>
      <c r="AJ37" s="43">
        <v>65.143000000000001</v>
      </c>
      <c r="AK37" s="65">
        <v>141.27277777777778</v>
      </c>
      <c r="AL37" s="44">
        <f t="shared" si="0"/>
        <v>24.41</v>
      </c>
      <c r="AM37" s="44">
        <f t="shared" si="1"/>
        <v>65.143000000000001</v>
      </c>
      <c r="AN37" s="44">
        <f t="shared" si="2"/>
        <v>141.27277777777778</v>
      </c>
    </row>
    <row r="38" spans="1:40" ht="18.75" customHeight="1" x14ac:dyDescent="0.2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</row>
    <row r="39" spans="1:40" ht="18.75" customHeight="1" x14ac:dyDescent="0.2">
      <c r="A39" s="76" t="s">
        <v>9</v>
      </c>
      <c r="B39" s="44">
        <f>SUM(B4:B38)</f>
        <v>6.787E-2</v>
      </c>
      <c r="C39" s="44">
        <f t="shared" ref="C39:AN39" si="3">SUM(C4:C38)</f>
        <v>2.0000000000000001E-4</v>
      </c>
      <c r="D39" s="44">
        <f t="shared" si="3"/>
        <v>1.7792777777777777</v>
      </c>
      <c r="E39" s="44">
        <f t="shared" si="3"/>
        <v>1.0999999999999999E-2</v>
      </c>
      <c r="F39" s="44">
        <f t="shared" si="3"/>
        <v>0</v>
      </c>
      <c r="G39" s="44">
        <f t="shared" si="3"/>
        <v>0.70809523809523811</v>
      </c>
      <c r="H39" s="44">
        <f t="shared" si="3"/>
        <v>18.357500000000002</v>
      </c>
      <c r="I39" s="44">
        <f t="shared" si="3"/>
        <v>175.61</v>
      </c>
      <c r="J39" s="44">
        <f t="shared" si="3"/>
        <v>0.16988888888888887</v>
      </c>
      <c r="K39" s="44">
        <f t="shared" si="3"/>
        <v>6.3399999999999998E-2</v>
      </c>
      <c r="L39" s="44">
        <f t="shared" si="3"/>
        <v>0</v>
      </c>
      <c r="M39" s="44">
        <f t="shared" si="3"/>
        <v>1.4217142857142857</v>
      </c>
      <c r="N39" s="44">
        <f t="shared" si="3"/>
        <v>9.3674999999999997</v>
      </c>
      <c r="O39" s="44">
        <f t="shared" si="3"/>
        <v>12.18</v>
      </c>
      <c r="P39" s="44">
        <f t="shared" si="3"/>
        <v>88.349375000000009</v>
      </c>
      <c r="Q39" s="44">
        <f t="shared" si="3"/>
        <v>10.349499999999999</v>
      </c>
      <c r="R39" s="44">
        <f t="shared" si="3"/>
        <v>50.894010000000002</v>
      </c>
      <c r="S39" s="44">
        <v>0</v>
      </c>
      <c r="T39" s="44">
        <f t="shared" si="3"/>
        <v>42.875</v>
      </c>
      <c r="U39" s="44">
        <f t="shared" si="3"/>
        <v>360.20580000000001</v>
      </c>
      <c r="V39" s="44">
        <v>0</v>
      </c>
      <c r="W39" s="44">
        <f t="shared" si="3"/>
        <v>1.2E-2</v>
      </c>
      <c r="X39" s="44">
        <f t="shared" si="3"/>
        <v>0</v>
      </c>
      <c r="Y39" s="44">
        <v>1.3615384615384616E-3</v>
      </c>
      <c r="Z39" s="44">
        <f t="shared" si="3"/>
        <v>28.130319999999998</v>
      </c>
      <c r="AA39" s="44">
        <f t="shared" si="3"/>
        <v>75.656999999999996</v>
      </c>
      <c r="AB39" s="44">
        <f t="shared" si="3"/>
        <v>153.09817692307692</v>
      </c>
      <c r="AC39" s="44">
        <f t="shared" si="3"/>
        <v>7.9524999999999997</v>
      </c>
      <c r="AD39" s="44">
        <f t="shared" si="3"/>
        <v>27.705029999999997</v>
      </c>
      <c r="AE39" s="44">
        <f t="shared" si="3"/>
        <v>8.6661111111111104</v>
      </c>
      <c r="AF39" s="44">
        <f t="shared" si="3"/>
        <v>1.7999999999999999E-2</v>
      </c>
      <c r="AG39" s="44">
        <f t="shared" si="3"/>
        <v>0</v>
      </c>
      <c r="AH39" s="44">
        <f t="shared" si="3"/>
        <v>0.25055555555555559</v>
      </c>
      <c r="AI39" s="44">
        <f t="shared" si="3"/>
        <v>115.53954999999999</v>
      </c>
      <c r="AJ39" s="44">
        <f t="shared" si="3"/>
        <v>1026.96</v>
      </c>
      <c r="AK39" s="44">
        <f t="shared" si="3"/>
        <v>263.36897222222223</v>
      </c>
      <c r="AL39" s="44">
        <f t="shared" si="3"/>
        <v>232.74414000000002</v>
      </c>
      <c r="AM39" s="44">
        <f t="shared" si="3"/>
        <v>1729.2120399999999</v>
      </c>
      <c r="AN39" s="44">
        <f t="shared" si="3"/>
        <v>517.81216700244192</v>
      </c>
    </row>
    <row r="40" spans="1:40" ht="18" customHeight="1" x14ac:dyDescent="0.2">
      <c r="A40" s="60" t="s">
        <v>242</v>
      </c>
    </row>
    <row r="41" spans="1:40" ht="18.75" customHeight="1" x14ac:dyDescent="0.2">
      <c r="A41" s="60" t="s">
        <v>239</v>
      </c>
    </row>
    <row r="42" spans="1:40" ht="51" customHeight="1" x14ac:dyDescent="0.2">
      <c r="A42" s="87" t="s">
        <v>234</v>
      </c>
    </row>
  </sheetData>
  <mergeCells count="14">
    <mergeCell ref="AL1:AN1"/>
    <mergeCell ref="AM2:AN2"/>
    <mergeCell ref="T1:V1"/>
    <mergeCell ref="W1:Y1"/>
    <mergeCell ref="Z1:AB1"/>
    <mergeCell ref="AC1:AE1"/>
    <mergeCell ref="AF1:AH1"/>
    <mergeCell ref="AI1:AK1"/>
    <mergeCell ref="Q1:S1"/>
    <mergeCell ref="B1:D1"/>
    <mergeCell ref="E1:G1"/>
    <mergeCell ref="H1:J1"/>
    <mergeCell ref="K1:M1"/>
    <mergeCell ref="N1:P1"/>
  </mergeCells>
  <pageMargins left="0.26" right="0.25" top="0.63" bottom="0.33" header="0.27" footer="0.18"/>
  <pageSetup scale="74" orientation="landscape" verticalDpi="300" r:id="rId1"/>
  <headerFooter alignWithMargins="0">
    <oddHeader>&amp;C&amp;"Arial,Bold"&amp;12Area and Production of Flowers 2012-13 (Final)&amp;R&amp;"Arial,Bold"&amp;8Area in '000 Ha
 Loose Production in '000 MT
Cut Production in Lakh No.</oddHeader>
  </headerFooter>
  <colBreaks count="2" manualBreakCount="2">
    <brk id="1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SUMMARY</vt:lpstr>
      <vt:lpstr>Horticulture 2012-13</vt:lpstr>
      <vt:lpstr>Fruits 2012-13</vt:lpstr>
      <vt:lpstr>Citrus 2012-13</vt:lpstr>
      <vt:lpstr>Vegetables 2012-13</vt:lpstr>
      <vt:lpstr>Plantations 2012-13</vt:lpstr>
      <vt:lpstr>Spices 2012-13</vt:lpstr>
      <vt:lpstr>Flowers 2012-13</vt:lpstr>
      <vt:lpstr>Flowers 2012-13 (weight)</vt:lpstr>
      <vt:lpstr>'Flowers 2012-13'!Print_Titles</vt:lpstr>
      <vt:lpstr>'Flowers 2012-13 (weight)'!Print_Titles</vt:lpstr>
      <vt:lpstr>'Fruits 2012-13'!Print_Titles</vt:lpstr>
      <vt:lpstr>'Spices 2012-13'!Print_Titles</vt:lpstr>
      <vt:lpstr>SUMMARY!Print_Titles</vt:lpstr>
      <vt:lpstr>'Vegetables 2012-13'!Print_Titles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DILIP</dc:creator>
  <cp:lastModifiedBy>NeGPA</cp:lastModifiedBy>
  <cp:lastPrinted>2017-04-17T05:44:10Z</cp:lastPrinted>
  <dcterms:created xsi:type="dcterms:W3CDTF">2009-01-06T09:24:05Z</dcterms:created>
  <dcterms:modified xsi:type="dcterms:W3CDTF">2017-04-19T10:42:11Z</dcterms:modified>
</cp:coreProperties>
</file>