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7785" windowHeight="8205" tabRatio="897" firstSheet="1" activeTab="1"/>
  </bookViews>
  <sheets>
    <sheet name="Summary" sheetId="42" r:id="rId1"/>
    <sheet name=" Horticulture 2013-14(Final)" sheetId="34" r:id="rId2"/>
    <sheet name=" Fruits 2013-14(Final)" sheetId="31" r:id="rId3"/>
    <sheet name=" Citrus 2013-14(Final)" sheetId="30" r:id="rId4"/>
    <sheet name="Vegetables 2013-14(Final)" sheetId="32" r:id="rId5"/>
    <sheet name=" Plantations 2013-14(Final)" sheetId="29" r:id="rId6"/>
    <sheet name=" Spices 2013-14(Final)" sheetId="41" r:id="rId7"/>
    <sheet name=" Flowers 2013-14(Final)" sheetId="57" r:id="rId8"/>
    <sheet name="Sheet9" sheetId="66" r:id="rId9"/>
    <sheet name="Sheet10" sheetId="67" r:id="rId10"/>
    <sheet name="Sheet11" sheetId="68" r:id="rId11"/>
    <sheet name="3rd Horticulture 2013-14" sheetId="69" r:id="rId12"/>
    <sheet name="3rd Fruits 2013-14" sheetId="70" r:id="rId13"/>
    <sheet name="3rd Citrus 2013-14" sheetId="71" r:id="rId14"/>
    <sheet name="3rd Vegetables 2013-14" sheetId="72" r:id="rId15"/>
    <sheet name="3rd Plantations 2013-14" sheetId="73" r:id="rId16"/>
    <sheet name="3rd Spices 2013-14" sheetId="74" r:id="rId17"/>
    <sheet name="Com. Hort." sheetId="75" r:id="rId18"/>
    <sheet name="Com. Furits" sheetId="76" r:id="rId19"/>
    <sheet name="Com. Citrus" sheetId="79" r:id="rId20"/>
    <sheet name="Com.Veg." sheetId="77" r:id="rId21"/>
    <sheet name="Com.Plantation" sheetId="78" r:id="rId22"/>
    <sheet name="Com.Spices" sheetId="80" r:id="rId23"/>
    <sheet name="Sheet1" sheetId="81" r:id="rId24"/>
    <sheet name="Graph-(1)" sheetId="84" r:id="rId25"/>
    <sheet name="Graph-(2)" sheetId="85" r:id="rId26"/>
    <sheet name="Graph-(3)" sheetId="86" r:id="rId27"/>
    <sheet name="Graph-(4)" sheetId="87" r:id="rId28"/>
    <sheet name="Graph-(5)" sheetId="88" r:id="rId29"/>
    <sheet name="Graph-(6)" sheetId="89" r:id="rId30"/>
    <sheet name="Graph-(7)." sheetId="90" r:id="rId31"/>
    <sheet name="Graph-(8)" sheetId="91" r:id="rId32"/>
    <sheet name="trends across est." sheetId="92" r:id="rId33"/>
    <sheet name="Graph-(7)" sheetId="93" r:id="rId34"/>
    <sheet name="Sheet2" sheetId="83" r:id="rId35"/>
  </sheets>
  <externalReferences>
    <externalReference r:id="rId36"/>
    <externalReference r:id="rId37"/>
    <externalReference r:id="rId38"/>
    <externalReference r:id="rId39"/>
  </externalReferences>
  <definedNames>
    <definedName name="_xlnm.Print_Area" localSheetId="2">' Fruits 2013-14(Final)'!$A$1:$BC$39</definedName>
    <definedName name="_xlnm.Print_Area" localSheetId="5">' Plantations 2013-14(Final)'!$A$1:$K$46</definedName>
    <definedName name="_xlnm.Print_Area" localSheetId="12">'3rd Fruits 2013-14'!$A$1:$BC$40</definedName>
    <definedName name="_xlnm.Print_Area" localSheetId="15">'3rd Plantations 2013-14'!$A$1:$K$44</definedName>
    <definedName name="_xlnm.Print_Area" localSheetId="14">'3rd Vegetables 2013-14'!$A$1:$AU$40</definedName>
    <definedName name="_xlnm.Print_Area" localSheetId="4">'Vegetables 2013-14(Final)'!$A$1:$AZ$39</definedName>
    <definedName name="_xlnm.Print_Titles" localSheetId="7">' Flowers 2013-14(Final)'!$A:$A</definedName>
    <definedName name="_xlnm.Print_Titles" localSheetId="2">' Fruits 2013-14(Final)'!$A:$A</definedName>
    <definedName name="_xlnm.Print_Titles" localSheetId="6">' Spices 2013-14(Final)'!$A:$A</definedName>
    <definedName name="_xlnm.Print_Titles" localSheetId="12">'3rd Fruits 2013-14'!$A:$A</definedName>
    <definedName name="_xlnm.Print_Titles" localSheetId="16">'3rd Spices 2013-14'!$A:$A</definedName>
    <definedName name="_xlnm.Print_Titles" localSheetId="14">'3rd Vegetables 2013-14'!$A:$A</definedName>
    <definedName name="_xlnm.Print_Titles" localSheetId="0">Summary!$A:$A,Summary!$1:$6</definedName>
    <definedName name="_xlnm.Print_Titles" localSheetId="4">'Vegetables 2013-14(Final)'!$A:$A</definedName>
  </definedNames>
  <calcPr calcId="145621" fullCalcOnLoad="1"/>
</workbook>
</file>

<file path=xl/calcChain.xml><?xml version="1.0" encoding="utf-8"?>
<calcChain xmlns="http://schemas.openxmlformats.org/spreadsheetml/2006/main">
  <c r="K5" i="29" l="1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I4" i="29"/>
  <c r="K4" i="29"/>
  <c r="C72" i="42"/>
  <c r="B72" i="42"/>
  <c r="AK33" i="57"/>
  <c r="AZ7" i="31"/>
  <c r="AA7" i="31"/>
  <c r="Z7" i="31"/>
  <c r="AG19" i="31"/>
  <c r="BC19" i="31"/>
  <c r="C23" i="34" s="1"/>
  <c r="AF19" i="31"/>
  <c r="AH7" i="89"/>
  <c r="AH8" i="89"/>
  <c r="AH9" i="89"/>
  <c r="AH10" i="89"/>
  <c r="AH11" i="89"/>
  <c r="AH12" i="89"/>
  <c r="AH13" i="89"/>
  <c r="AH14" i="89"/>
  <c r="AH15" i="89"/>
  <c r="AH16" i="89"/>
  <c r="AH17" i="89"/>
  <c r="AH18" i="89"/>
  <c r="AH19" i="89"/>
  <c r="AH20" i="89"/>
  <c r="AH21" i="89"/>
  <c r="AH22" i="89"/>
  <c r="AH23" i="89"/>
  <c r="AH24" i="89"/>
  <c r="AH25" i="89"/>
  <c r="AH26" i="89"/>
  <c r="AH27" i="89"/>
  <c r="AH28" i="89"/>
  <c r="AH29" i="89"/>
  <c r="AH30" i="89"/>
  <c r="AH31" i="89"/>
  <c r="AH32" i="89"/>
  <c r="AH33" i="89"/>
  <c r="AH34" i="89"/>
  <c r="AH35" i="89"/>
  <c r="AH36" i="89"/>
  <c r="AH37" i="89"/>
  <c r="AH38" i="89"/>
  <c r="AH39" i="89"/>
  <c r="AH40" i="89"/>
  <c r="AH41" i="89"/>
  <c r="AH42" i="89"/>
  <c r="AH6" i="89"/>
  <c r="T7" i="89"/>
  <c r="T8" i="89"/>
  <c r="T9" i="89"/>
  <c r="T10" i="89"/>
  <c r="T11" i="89"/>
  <c r="T12" i="89"/>
  <c r="T13" i="89"/>
  <c r="T14" i="89"/>
  <c r="T15" i="89"/>
  <c r="T16" i="89"/>
  <c r="T17" i="89"/>
  <c r="T18" i="89"/>
  <c r="T19" i="89"/>
  <c r="T20" i="89"/>
  <c r="T21" i="89"/>
  <c r="T22" i="89"/>
  <c r="T23" i="89"/>
  <c r="T24" i="89"/>
  <c r="T25" i="89"/>
  <c r="T26" i="89"/>
  <c r="T27" i="89"/>
  <c r="T28" i="89"/>
  <c r="T29" i="89"/>
  <c r="T30" i="89"/>
  <c r="T31" i="89"/>
  <c r="T32" i="89"/>
  <c r="T33" i="89"/>
  <c r="T34" i="89"/>
  <c r="T35" i="89"/>
  <c r="T36" i="89"/>
  <c r="T37" i="89"/>
  <c r="T38" i="89"/>
  <c r="T39" i="89"/>
  <c r="T40" i="89"/>
  <c r="T41" i="89"/>
  <c r="T42" i="89"/>
  <c r="T6" i="89"/>
  <c r="B21" i="92"/>
  <c r="C8" i="93"/>
  <c r="B8" i="93"/>
  <c r="C7" i="93"/>
  <c r="D7" i="93"/>
  <c r="B7" i="93"/>
  <c r="C6" i="93"/>
  <c r="D6" i="93" s="1"/>
  <c r="B6" i="93"/>
  <c r="C5" i="93"/>
  <c r="D5" i="93" s="1"/>
  <c r="B5" i="93"/>
  <c r="C4" i="93"/>
  <c r="B4" i="93"/>
  <c r="E20" i="92"/>
  <c r="D20" i="92"/>
  <c r="E19" i="92"/>
  <c r="D19" i="92"/>
  <c r="E18" i="92"/>
  <c r="D18" i="92"/>
  <c r="E17" i="92"/>
  <c r="D17" i="92"/>
  <c r="E16" i="92"/>
  <c r="D16" i="92"/>
  <c r="E15" i="92"/>
  <c r="D15" i="92"/>
  <c r="D21" i="92" s="1"/>
  <c r="S7" i="92"/>
  <c r="V7" i="92" s="1"/>
  <c r="S6" i="92"/>
  <c r="V6" i="92" s="1"/>
  <c r="D10" i="91"/>
  <c r="D9" i="91"/>
  <c r="D8" i="91"/>
  <c r="D7" i="91"/>
  <c r="D6" i="91"/>
  <c r="D37" i="90"/>
  <c r="D36" i="90"/>
  <c r="D35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5" i="89"/>
  <c r="C6" i="88"/>
  <c r="B6" i="88"/>
  <c r="C5" i="88"/>
  <c r="B5" i="88"/>
  <c r="C4" i="88"/>
  <c r="B4" i="88"/>
  <c r="C3" i="88"/>
  <c r="B3" i="88"/>
  <c r="C7" i="87"/>
  <c r="B7" i="87"/>
  <c r="C6" i="87"/>
  <c r="B6" i="87"/>
  <c r="C5" i="87"/>
  <c r="B5" i="87"/>
  <c r="C4" i="87"/>
  <c r="B4" i="87"/>
  <c r="C3" i="87"/>
  <c r="B3" i="87"/>
  <c r="C8" i="86"/>
  <c r="B8" i="86"/>
  <c r="C7" i="86"/>
  <c r="B7" i="86"/>
  <c r="C6" i="86"/>
  <c r="B6" i="86"/>
  <c r="C5" i="86"/>
  <c r="B5" i="86"/>
  <c r="C4" i="86"/>
  <c r="B4" i="86"/>
  <c r="C8" i="85"/>
  <c r="B8" i="85"/>
  <c r="C7" i="85"/>
  <c r="B7" i="85"/>
  <c r="C6" i="85"/>
  <c r="B6" i="85"/>
  <c r="C5" i="85"/>
  <c r="B5" i="85"/>
  <c r="C4" i="85"/>
  <c r="B4" i="85"/>
  <c r="C8" i="84"/>
  <c r="B8" i="84"/>
  <c r="C7" i="84"/>
  <c r="B7" i="84"/>
  <c r="C6" i="84"/>
  <c r="B6" i="84"/>
  <c r="C5" i="84"/>
  <c r="B5" i="84"/>
  <c r="C4" i="84"/>
  <c r="B4" i="84"/>
  <c r="E21" i="92"/>
  <c r="D4" i="93"/>
  <c r="D8" i="93"/>
  <c r="U7" i="92"/>
  <c r="T7" i="92"/>
  <c r="Q42" i="34"/>
  <c r="P42" i="34"/>
  <c r="E9" i="34"/>
  <c r="E17" i="34"/>
  <c r="E28" i="34"/>
  <c r="D37" i="34"/>
  <c r="AZ4" i="32"/>
  <c r="E8" i="34"/>
  <c r="AZ5" i="32"/>
  <c r="AZ6" i="32"/>
  <c r="E10" i="34" s="1"/>
  <c r="AZ7" i="32"/>
  <c r="E11" i="34" s="1"/>
  <c r="AZ8" i="32"/>
  <c r="E12" i="34" s="1"/>
  <c r="AZ9" i="32"/>
  <c r="E13" i="34" s="1"/>
  <c r="AZ10" i="32"/>
  <c r="E14" i="34"/>
  <c r="AZ11" i="32"/>
  <c r="E15" i="34"/>
  <c r="AZ12" i="32"/>
  <c r="E16" i="34"/>
  <c r="AZ13" i="32"/>
  <c r="AZ16" i="32"/>
  <c r="E20" i="34" s="1"/>
  <c r="AZ17" i="32"/>
  <c r="E21" i="34" s="1"/>
  <c r="AZ19" i="32"/>
  <c r="E23" i="34"/>
  <c r="AZ20" i="32"/>
  <c r="E24" i="34" s="1"/>
  <c r="AZ21" i="32"/>
  <c r="E25" i="34" s="1"/>
  <c r="AZ22" i="32"/>
  <c r="E26" i="34"/>
  <c r="AZ24" i="32"/>
  <c r="AZ26" i="32"/>
  <c r="E30" i="34" s="1"/>
  <c r="AZ27" i="32"/>
  <c r="E31" i="34"/>
  <c r="AZ30" i="32"/>
  <c r="E34" i="34" s="1"/>
  <c r="AZ32" i="32"/>
  <c r="E36" i="34" s="1"/>
  <c r="AZ33" i="32"/>
  <c r="E37" i="34"/>
  <c r="AZ34" i="32"/>
  <c r="E38" i="34" s="1"/>
  <c r="AZ35" i="32"/>
  <c r="E39" i="34" s="1"/>
  <c r="AZ36" i="32"/>
  <c r="E40" i="34" s="1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R39" i="32"/>
  <c r="S39" i="32"/>
  <c r="T39" i="32"/>
  <c r="U39" i="32"/>
  <c r="V39" i="32"/>
  <c r="W39" i="32"/>
  <c r="X39" i="32"/>
  <c r="Y39" i="32"/>
  <c r="Z39" i="32"/>
  <c r="AA39" i="32"/>
  <c r="AB39" i="32"/>
  <c r="AC39" i="32"/>
  <c r="AD39" i="32"/>
  <c r="AE39" i="32"/>
  <c r="AF39" i="32"/>
  <c r="AG39" i="32"/>
  <c r="AJ39" i="32"/>
  <c r="AK39" i="32"/>
  <c r="AL39" i="32"/>
  <c r="AM39" i="32"/>
  <c r="AN39" i="32"/>
  <c r="AO39" i="32"/>
  <c r="AP39" i="32"/>
  <c r="AQ39" i="32"/>
  <c r="AR39" i="32"/>
  <c r="AS39" i="32"/>
  <c r="AT39" i="32"/>
  <c r="AU39" i="32"/>
  <c r="AV39" i="32"/>
  <c r="B39" i="32"/>
  <c r="AY4" i="32"/>
  <c r="D8" i="34" s="1"/>
  <c r="AY5" i="32"/>
  <c r="D9" i="34" s="1"/>
  <c r="AY6" i="32"/>
  <c r="D10" i="34"/>
  <c r="AY7" i="32"/>
  <c r="D11" i="34" s="1"/>
  <c r="AY8" i="32"/>
  <c r="D12" i="34"/>
  <c r="AY9" i="32"/>
  <c r="D13" i="34" s="1"/>
  <c r="AY10" i="32"/>
  <c r="D14" i="34"/>
  <c r="AY11" i="32"/>
  <c r="D15" i="34" s="1"/>
  <c r="AY12" i="32"/>
  <c r="D16" i="34" s="1"/>
  <c r="AY13" i="32"/>
  <c r="D17" i="34" s="1"/>
  <c r="AY16" i="32"/>
  <c r="D20" i="34"/>
  <c r="AY17" i="32"/>
  <c r="D21" i="34" s="1"/>
  <c r="AY19" i="32"/>
  <c r="D23" i="34"/>
  <c r="AY20" i="32"/>
  <c r="D24" i="34" s="1"/>
  <c r="AY21" i="32"/>
  <c r="D25" i="34" s="1"/>
  <c r="AY22" i="32"/>
  <c r="D26" i="34" s="1"/>
  <c r="AY24" i="32"/>
  <c r="D28" i="34" s="1"/>
  <c r="AY26" i="32"/>
  <c r="D30" i="34" s="1"/>
  <c r="AY27" i="32"/>
  <c r="D31" i="34" s="1"/>
  <c r="AY30" i="32"/>
  <c r="D34" i="34" s="1"/>
  <c r="AY32" i="32"/>
  <c r="D36" i="34"/>
  <c r="AY33" i="32"/>
  <c r="AY34" i="32"/>
  <c r="D38" i="34" s="1"/>
  <c r="AY35" i="32"/>
  <c r="D39" i="34" s="1"/>
  <c r="AY36" i="32"/>
  <c r="D40" i="34" s="1"/>
  <c r="AF23" i="31"/>
  <c r="AF25" i="31"/>
  <c r="AG26" i="31"/>
  <c r="AF31" i="31"/>
  <c r="BB31" i="31" s="1"/>
  <c r="B35" i="34" s="1"/>
  <c r="AF33" i="31"/>
  <c r="BB33" i="31" s="1"/>
  <c r="B37" i="34" s="1"/>
  <c r="AF35" i="31"/>
  <c r="BB35" i="31" s="1"/>
  <c r="B39" i="34" s="1"/>
  <c r="B36" i="75" s="1"/>
  <c r="AG36" i="31"/>
  <c r="C39" i="30"/>
  <c r="D39" i="30"/>
  <c r="E39" i="30"/>
  <c r="F39" i="30"/>
  <c r="G39" i="30"/>
  <c r="H39" i="30"/>
  <c r="I39" i="30"/>
  <c r="B39" i="30"/>
  <c r="J4" i="30"/>
  <c r="AF4" i="31" s="1"/>
  <c r="BB4" i="31" s="1"/>
  <c r="B8" i="34" s="1"/>
  <c r="K4" i="30"/>
  <c r="AG4" i="31" s="1"/>
  <c r="J5" i="30"/>
  <c r="AF5" i="31" s="1"/>
  <c r="BB5" i="31" s="1"/>
  <c r="B9" i="34" s="1"/>
  <c r="K5" i="30"/>
  <c r="AG5" i="31"/>
  <c r="J6" i="30"/>
  <c r="AF6" i="31"/>
  <c r="K6" i="30"/>
  <c r="AG6" i="31"/>
  <c r="BC6" i="31" s="1"/>
  <c r="C10" i="34" s="1"/>
  <c r="J7" i="30"/>
  <c r="AF7" i="31" s="1"/>
  <c r="K7" i="30"/>
  <c r="AG7" i="31"/>
  <c r="BC7" i="31" s="1"/>
  <c r="C11" i="34" s="1"/>
  <c r="J8" i="30"/>
  <c r="AF8" i="31" s="1"/>
  <c r="K8" i="30"/>
  <c r="AG8" i="31" s="1"/>
  <c r="BC8" i="31" s="1"/>
  <c r="C12" i="34" s="1"/>
  <c r="J9" i="30"/>
  <c r="AF9" i="31" s="1"/>
  <c r="K9" i="30"/>
  <c r="AG9" i="31"/>
  <c r="BC9" i="31" s="1"/>
  <c r="C13" i="34" s="1"/>
  <c r="J10" i="30"/>
  <c r="AF10" i="31"/>
  <c r="K10" i="30"/>
  <c r="AG10" i="31"/>
  <c r="BC10" i="31" s="1"/>
  <c r="C14" i="34" s="1"/>
  <c r="J11" i="30"/>
  <c r="AF11" i="31" s="1"/>
  <c r="K11" i="30"/>
  <c r="AG11" i="31"/>
  <c r="J12" i="30"/>
  <c r="AF12" i="31"/>
  <c r="K12" i="30"/>
  <c r="AG12" i="31"/>
  <c r="J13" i="30"/>
  <c r="AF13" i="31" s="1"/>
  <c r="K13" i="30"/>
  <c r="AG13" i="31" s="1"/>
  <c r="BC13" i="31" s="1"/>
  <c r="C17" i="34" s="1"/>
  <c r="J14" i="30"/>
  <c r="AF14" i="31"/>
  <c r="K14" i="30"/>
  <c r="AG14" i="31"/>
  <c r="J15" i="30"/>
  <c r="AF15" i="31" s="1"/>
  <c r="K15" i="30"/>
  <c r="AG15" i="31"/>
  <c r="J16" i="30"/>
  <c r="AF16" i="31" s="1"/>
  <c r="K16" i="30"/>
  <c r="AG16" i="31" s="1"/>
  <c r="J17" i="30"/>
  <c r="AF17" i="31" s="1"/>
  <c r="K17" i="30"/>
  <c r="AG17" i="31" s="1"/>
  <c r="BC17" i="31" s="1"/>
  <c r="C21" i="34" s="1"/>
  <c r="J18" i="30"/>
  <c r="AF18" i="31"/>
  <c r="K18" i="30"/>
  <c r="AG18" i="31"/>
  <c r="BC18" i="31" s="1"/>
  <c r="C22" i="34" s="1"/>
  <c r="J19" i="30"/>
  <c r="K19" i="30"/>
  <c r="J20" i="30"/>
  <c r="AF20" i="31" s="1"/>
  <c r="K20" i="30"/>
  <c r="AG20" i="31" s="1"/>
  <c r="BC20" i="31" s="1"/>
  <c r="C24" i="34" s="1"/>
  <c r="J21" i="30"/>
  <c r="AF21" i="31"/>
  <c r="K21" i="30"/>
  <c r="AG21" i="31"/>
  <c r="BC21" i="31" s="1"/>
  <c r="C25" i="34" s="1"/>
  <c r="J22" i="30"/>
  <c r="AF22" i="31" s="1"/>
  <c r="K22" i="30"/>
  <c r="AG22" i="31"/>
  <c r="J23" i="30"/>
  <c r="K23" i="30"/>
  <c r="AG23" i="31" s="1"/>
  <c r="BC23" i="31" s="1"/>
  <c r="C27" i="34" s="1"/>
  <c r="J24" i="30"/>
  <c r="AF24" i="31" s="1"/>
  <c r="K24" i="30"/>
  <c r="AG24" i="31" s="1"/>
  <c r="J25" i="30"/>
  <c r="K25" i="30"/>
  <c r="AG25" i="31" s="1"/>
  <c r="J26" i="30"/>
  <c r="AF26" i="31" s="1"/>
  <c r="AF26" i="76" s="1"/>
  <c r="K26" i="30"/>
  <c r="J27" i="30"/>
  <c r="AF27" i="31" s="1"/>
  <c r="BB27" i="31" s="1"/>
  <c r="B31" i="34" s="1"/>
  <c r="K27" i="30"/>
  <c r="AG27" i="31"/>
  <c r="J28" i="30"/>
  <c r="AF28" i="31"/>
  <c r="BB28" i="31" s="1"/>
  <c r="B32" i="34" s="1"/>
  <c r="K28" i="30"/>
  <c r="AG28" i="31" s="1"/>
  <c r="J29" i="30"/>
  <c r="AF29" i="31" s="1"/>
  <c r="BB29" i="31" s="1"/>
  <c r="B33" i="34" s="1"/>
  <c r="K29" i="30"/>
  <c r="AG29" i="31" s="1"/>
  <c r="J30" i="30"/>
  <c r="AF30" i="31" s="1"/>
  <c r="BB30" i="31" s="1"/>
  <c r="B34" i="34" s="1"/>
  <c r="K30" i="30"/>
  <c r="AG30" i="31" s="1"/>
  <c r="J31" i="30"/>
  <c r="K31" i="30"/>
  <c r="AG31" i="31" s="1"/>
  <c r="J32" i="30"/>
  <c r="AF32" i="31" s="1"/>
  <c r="BB32" i="31" s="1"/>
  <c r="B36" i="34" s="1"/>
  <c r="K32" i="30"/>
  <c r="AG32" i="31" s="1"/>
  <c r="J33" i="30"/>
  <c r="K33" i="30"/>
  <c r="AG33" i="31" s="1"/>
  <c r="J34" i="30"/>
  <c r="AF34" i="31" s="1"/>
  <c r="K34" i="30"/>
  <c r="AG34" i="31" s="1"/>
  <c r="J35" i="30"/>
  <c r="K35" i="30"/>
  <c r="AG35" i="31" s="1"/>
  <c r="J36" i="30"/>
  <c r="AF36" i="31" s="1"/>
  <c r="K36" i="30"/>
  <c r="J37" i="30"/>
  <c r="AF37" i="31" s="1"/>
  <c r="BB37" i="31" s="1"/>
  <c r="K37" i="30"/>
  <c r="AG37" i="31"/>
  <c r="BC37" i="31" s="1"/>
  <c r="C41" i="34" s="1"/>
  <c r="K3" i="30"/>
  <c r="AG3" i="31" s="1"/>
  <c r="BC3" i="31" s="1"/>
  <c r="J3" i="30"/>
  <c r="AF3" i="31" s="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P39" i="31"/>
  <c r="Q39" i="31"/>
  <c r="R39" i="31"/>
  <c r="S39" i="31"/>
  <c r="T39" i="31"/>
  <c r="U39" i="31"/>
  <c r="V39" i="31"/>
  <c r="W39" i="31"/>
  <c r="X39" i="31"/>
  <c r="Y39" i="31"/>
  <c r="Z39" i="31"/>
  <c r="AA39" i="31"/>
  <c r="AB39" i="31"/>
  <c r="AC39" i="31"/>
  <c r="AD39" i="31"/>
  <c r="AE39" i="31"/>
  <c r="AH39" i="31"/>
  <c r="AI39" i="31"/>
  <c r="AJ39" i="31"/>
  <c r="AK39" i="31"/>
  <c r="AL39" i="31"/>
  <c r="AM39" i="31"/>
  <c r="AN39" i="31"/>
  <c r="AO39" i="31"/>
  <c r="AP39" i="31"/>
  <c r="AQ39" i="31"/>
  <c r="AR39" i="31"/>
  <c r="AS39" i="31"/>
  <c r="AT39" i="31"/>
  <c r="AU39" i="31"/>
  <c r="AV39" i="31"/>
  <c r="AW39" i="31"/>
  <c r="AX39" i="31"/>
  <c r="AY39" i="31"/>
  <c r="B39" i="31"/>
  <c r="C40" i="57"/>
  <c r="D40" i="57"/>
  <c r="E40" i="57"/>
  <c r="F40" i="57"/>
  <c r="I40" i="57"/>
  <c r="J40" i="57"/>
  <c r="L40" i="57"/>
  <c r="M40" i="57"/>
  <c r="O40" i="57"/>
  <c r="P40" i="57"/>
  <c r="Q40" i="57"/>
  <c r="R40" i="57"/>
  <c r="S40" i="57"/>
  <c r="V40" i="57"/>
  <c r="W40" i="57"/>
  <c r="X40" i="57"/>
  <c r="Y40" i="57"/>
  <c r="Z40" i="57"/>
  <c r="AA40" i="57"/>
  <c r="AB40" i="57"/>
  <c r="AD40" i="57"/>
  <c r="AE40" i="57"/>
  <c r="AF40" i="57"/>
  <c r="AG40" i="57"/>
  <c r="AH40" i="57"/>
  <c r="AK40" i="57"/>
  <c r="B40" i="57"/>
  <c r="AL5" i="57"/>
  <c r="F8" i="34"/>
  <c r="AM5" i="57"/>
  <c r="G8" i="34" s="1"/>
  <c r="G5" i="75" s="1"/>
  <c r="AN5" i="57"/>
  <c r="H8" i="34" s="1"/>
  <c r="H5" i="75" s="1"/>
  <c r="AL6" i="57"/>
  <c r="F9" i="34" s="1"/>
  <c r="AM6" i="57"/>
  <c r="G9" i="34"/>
  <c r="AN6" i="57"/>
  <c r="H9" i="34" s="1"/>
  <c r="AL7" i="57"/>
  <c r="F10" i="34" s="1"/>
  <c r="AM7" i="57"/>
  <c r="G10" i="34" s="1"/>
  <c r="AN7" i="57"/>
  <c r="H10" i="34"/>
  <c r="AL8" i="57"/>
  <c r="F11" i="34" s="1"/>
  <c r="F8" i="75"/>
  <c r="AM8" i="57"/>
  <c r="G11" i="34"/>
  <c r="AN8" i="57"/>
  <c r="H11" i="34"/>
  <c r="AN9" i="57"/>
  <c r="H12" i="34" s="1"/>
  <c r="AL10" i="57"/>
  <c r="F13" i="34"/>
  <c r="AM10" i="57"/>
  <c r="G13" i="34" s="1"/>
  <c r="AN10" i="57"/>
  <c r="H13" i="34" s="1"/>
  <c r="AL11" i="57"/>
  <c r="F14" i="34" s="1"/>
  <c r="AM11" i="57"/>
  <c r="G14" i="34"/>
  <c r="AN11" i="57"/>
  <c r="H14" i="34" s="1"/>
  <c r="AL12" i="57"/>
  <c r="F15" i="34" s="1"/>
  <c r="F12" i="75" s="1"/>
  <c r="AM12" i="57"/>
  <c r="G15" i="34" s="1"/>
  <c r="AN12" i="57"/>
  <c r="H15" i="34"/>
  <c r="AL13" i="57"/>
  <c r="F16" i="34"/>
  <c r="AM13" i="57"/>
  <c r="G16" i="34" s="1"/>
  <c r="AN13" i="57"/>
  <c r="H16" i="34"/>
  <c r="AL14" i="57"/>
  <c r="F17" i="34" s="1"/>
  <c r="F14" i="75" s="1"/>
  <c r="AM14" i="57"/>
  <c r="G17" i="34" s="1"/>
  <c r="AN14" i="57"/>
  <c r="H17" i="34" s="1"/>
  <c r="AM15" i="57"/>
  <c r="G18" i="34"/>
  <c r="AN15" i="57"/>
  <c r="H18" i="34" s="1"/>
  <c r="AM16" i="57"/>
  <c r="G19" i="34" s="1"/>
  <c r="AN16" i="57"/>
  <c r="H19" i="34" s="1"/>
  <c r="AN17" i="57"/>
  <c r="H20" i="34"/>
  <c r="AL18" i="57"/>
  <c r="F21" i="34" s="1"/>
  <c r="AM18" i="57"/>
  <c r="G21" i="34" s="1"/>
  <c r="G18" i="75" s="1"/>
  <c r="AN18" i="57"/>
  <c r="H21" i="34" s="1"/>
  <c r="AL19" i="57"/>
  <c r="F22" i="34" s="1"/>
  <c r="AM19" i="57"/>
  <c r="G22" i="34"/>
  <c r="AN19" i="57"/>
  <c r="H22" i="34" s="1"/>
  <c r="AL20" i="57"/>
  <c r="F23" i="34" s="1"/>
  <c r="AM20" i="57"/>
  <c r="G23" i="34" s="1"/>
  <c r="AN20" i="57"/>
  <c r="H23" i="34"/>
  <c r="AL21" i="57"/>
  <c r="F24" i="34" s="1"/>
  <c r="AM21" i="57"/>
  <c r="G24" i="34" s="1"/>
  <c r="AN21" i="57"/>
  <c r="H24" i="34" s="1"/>
  <c r="AL22" i="57"/>
  <c r="F25" i="34"/>
  <c r="AM22" i="57"/>
  <c r="G25" i="34"/>
  <c r="AN22" i="57"/>
  <c r="H25" i="34" s="1"/>
  <c r="AL23" i="57"/>
  <c r="F26" i="34"/>
  <c r="AM23" i="57"/>
  <c r="G26" i="34" s="1"/>
  <c r="AN23" i="57"/>
  <c r="H26" i="34"/>
  <c r="AL24" i="57"/>
  <c r="F27" i="34" s="1"/>
  <c r="AM24" i="57"/>
  <c r="G27" i="34"/>
  <c r="AN24" i="57"/>
  <c r="H27" i="34" s="1"/>
  <c r="AL25" i="57"/>
  <c r="F28" i="34" s="1"/>
  <c r="AM25" i="57"/>
  <c r="G28" i="34" s="1"/>
  <c r="AN25" i="57"/>
  <c r="H28" i="34"/>
  <c r="AN26" i="57"/>
  <c r="H29" i="34" s="1"/>
  <c r="AM27" i="57"/>
  <c r="G30" i="34" s="1"/>
  <c r="AN27" i="57"/>
  <c r="H30" i="34" s="1"/>
  <c r="AL28" i="57"/>
  <c r="F31" i="34"/>
  <c r="AM28" i="57"/>
  <c r="G31" i="34" s="1"/>
  <c r="G28" i="75"/>
  <c r="AN28" i="57"/>
  <c r="H31" i="34"/>
  <c r="AL29" i="57"/>
  <c r="F32" i="34"/>
  <c r="AM29" i="57"/>
  <c r="G32" i="34"/>
  <c r="AN29" i="57"/>
  <c r="H32" i="34"/>
  <c r="AL30" i="57"/>
  <c r="F33" i="34"/>
  <c r="AM30" i="57"/>
  <c r="G33" i="34"/>
  <c r="AN30" i="57"/>
  <c r="H33" i="34"/>
  <c r="AL31" i="57"/>
  <c r="F34" i="34"/>
  <c r="F31" i="75" s="1"/>
  <c r="AM31" i="57"/>
  <c r="G34" i="34" s="1"/>
  <c r="AN31" i="57"/>
  <c r="H34" i="34"/>
  <c r="AM32" i="57"/>
  <c r="G35" i="34" s="1"/>
  <c r="AN32" i="57"/>
  <c r="H35" i="34" s="1"/>
  <c r="AL33" i="57"/>
  <c r="F36" i="34" s="1"/>
  <c r="AM33" i="57"/>
  <c r="G36" i="34"/>
  <c r="AN33" i="57"/>
  <c r="H36" i="34"/>
  <c r="AL34" i="57"/>
  <c r="F37" i="34"/>
  <c r="AM34" i="57"/>
  <c r="G37" i="34"/>
  <c r="AN34" i="57"/>
  <c r="H37" i="34"/>
  <c r="AL35" i="57"/>
  <c r="F38" i="34"/>
  <c r="AM35" i="57"/>
  <c r="G38" i="34"/>
  <c r="AN35" i="57"/>
  <c r="H38" i="34"/>
  <c r="AL36" i="57"/>
  <c r="F39" i="34"/>
  <c r="AM36" i="57"/>
  <c r="G39" i="34"/>
  <c r="AN36" i="57"/>
  <c r="H39" i="34"/>
  <c r="AL38" i="57"/>
  <c r="F41" i="34" s="1"/>
  <c r="AM38" i="57"/>
  <c r="G41" i="34" s="1"/>
  <c r="G38" i="75"/>
  <c r="AN38" i="57"/>
  <c r="H41" i="34"/>
  <c r="AM4" i="57"/>
  <c r="AN4" i="57"/>
  <c r="AL4" i="57"/>
  <c r="F7" i="34" s="1"/>
  <c r="K39" i="30"/>
  <c r="J39" i="30"/>
  <c r="G7" i="34"/>
  <c r="G37" i="57"/>
  <c r="G40" i="57"/>
  <c r="AN37" i="57"/>
  <c r="I43" i="34"/>
  <c r="J43" i="34"/>
  <c r="E67" i="42"/>
  <c r="G18" i="92" s="1"/>
  <c r="K18" i="92"/>
  <c r="O43" i="34"/>
  <c r="AJ17" i="57"/>
  <c r="AI17" i="57"/>
  <c r="AC17" i="57"/>
  <c r="AC40" i="57" s="1"/>
  <c r="U17" i="57"/>
  <c r="U40" i="57" s="1"/>
  <c r="T17" i="57"/>
  <c r="T40" i="57"/>
  <c r="N17" i="57"/>
  <c r="N40" i="57"/>
  <c r="K17" i="57"/>
  <c r="K40" i="57"/>
  <c r="AM17" i="57"/>
  <c r="G20" i="34" s="1"/>
  <c r="G17" i="75" s="1"/>
  <c r="H40" i="34"/>
  <c r="AJ37" i="57"/>
  <c r="AM37" i="57" s="1"/>
  <c r="G40" i="34" s="1"/>
  <c r="AI37" i="57"/>
  <c r="AL37" i="57"/>
  <c r="F40" i="34" s="1"/>
  <c r="F37" i="75" s="1"/>
  <c r="BC4" i="31"/>
  <c r="C8" i="34"/>
  <c r="BB6" i="31"/>
  <c r="B10" i="34" s="1"/>
  <c r="BB7" i="31"/>
  <c r="B11" i="34" s="1"/>
  <c r="B8" i="75" s="1"/>
  <c r="BB8" i="31"/>
  <c r="B12" i="34"/>
  <c r="BB9" i="31"/>
  <c r="B13" i="34" s="1"/>
  <c r="BB10" i="31"/>
  <c r="B14" i="34" s="1"/>
  <c r="BB11" i="31"/>
  <c r="B15" i="34"/>
  <c r="BC11" i="31"/>
  <c r="C15" i="34"/>
  <c r="BB12" i="31"/>
  <c r="B16" i="34"/>
  <c r="B13" i="75" s="1"/>
  <c r="BC12" i="31"/>
  <c r="C16" i="34" s="1"/>
  <c r="BB13" i="31"/>
  <c r="B17" i="34" s="1"/>
  <c r="B14" i="75" s="1"/>
  <c r="BB17" i="31"/>
  <c r="B21" i="34"/>
  <c r="BB18" i="31"/>
  <c r="B22" i="34"/>
  <c r="BB19" i="31"/>
  <c r="B23" i="34"/>
  <c r="B20" i="75" s="1"/>
  <c r="BB20" i="31"/>
  <c r="B24" i="34" s="1"/>
  <c r="BB21" i="31"/>
  <c r="B25" i="34" s="1"/>
  <c r="BB22" i="31"/>
  <c r="B26" i="34" s="1"/>
  <c r="B23" i="75" s="1"/>
  <c r="BC22" i="31"/>
  <c r="C26" i="34"/>
  <c r="BB23" i="31"/>
  <c r="B27" i="34"/>
  <c r="B24" i="75" s="1"/>
  <c r="BB25" i="31"/>
  <c r="B29" i="34" s="1"/>
  <c r="B26" i="75" s="1"/>
  <c r="BC27" i="31"/>
  <c r="C31" i="34"/>
  <c r="BC28" i="31"/>
  <c r="C32" i="34"/>
  <c r="C29" i="75" s="1"/>
  <c r="BC29" i="31"/>
  <c r="C33" i="34" s="1"/>
  <c r="BC30" i="31"/>
  <c r="C34" i="34"/>
  <c r="BC31" i="31"/>
  <c r="C35" i="34" s="1"/>
  <c r="BC32" i="31"/>
  <c r="C36" i="34"/>
  <c r="C33" i="75" s="1"/>
  <c r="BC33" i="31"/>
  <c r="C37" i="34" s="1"/>
  <c r="BC34" i="31"/>
  <c r="C38" i="34"/>
  <c r="BC35" i="31"/>
  <c r="C39" i="34" s="1"/>
  <c r="C36" i="75"/>
  <c r="B41" i="34"/>
  <c r="BA36" i="31"/>
  <c r="BC36" i="31" s="1"/>
  <c r="C40" i="34" s="1"/>
  <c r="AZ36" i="31"/>
  <c r="AJ26" i="57"/>
  <c r="AM26" i="57" s="1"/>
  <c r="G29" i="34" s="1"/>
  <c r="AI26" i="57"/>
  <c r="AL26" i="57"/>
  <c r="F29" i="34" s="1"/>
  <c r="AX25" i="32"/>
  <c r="AZ25" i="32"/>
  <c r="E29" i="34" s="1"/>
  <c r="E26" i="75" s="1"/>
  <c r="AW25" i="32"/>
  <c r="AY25" i="32"/>
  <c r="D29" i="34" s="1"/>
  <c r="BA25" i="31"/>
  <c r="BC25" i="31" s="1"/>
  <c r="C29" i="34"/>
  <c r="AZ25" i="31"/>
  <c r="B4" i="79"/>
  <c r="J4" i="79" s="1"/>
  <c r="B6" i="79"/>
  <c r="B7" i="79"/>
  <c r="B8" i="79"/>
  <c r="J8" i="79" s="1"/>
  <c r="B13" i="79"/>
  <c r="B15" i="79"/>
  <c r="B17" i="79"/>
  <c r="J17" i="79" s="1"/>
  <c r="B18" i="79"/>
  <c r="B21" i="79"/>
  <c r="B22" i="79"/>
  <c r="J22" i="79" s="1"/>
  <c r="B23" i="79"/>
  <c r="B24" i="79"/>
  <c r="B25" i="79"/>
  <c r="B26" i="79"/>
  <c r="B28" i="79"/>
  <c r="B29" i="79"/>
  <c r="B30" i="79"/>
  <c r="J30" i="79" s="1"/>
  <c r="B32" i="79"/>
  <c r="B34" i="79"/>
  <c r="B35" i="79"/>
  <c r="B16" i="76"/>
  <c r="I5" i="75"/>
  <c r="J5" i="75"/>
  <c r="I6" i="75"/>
  <c r="J6" i="75"/>
  <c r="I7" i="75"/>
  <c r="J7" i="75"/>
  <c r="I8" i="75"/>
  <c r="J8" i="75"/>
  <c r="I9" i="75"/>
  <c r="J9" i="75"/>
  <c r="I15" i="75"/>
  <c r="J15" i="75"/>
  <c r="I16" i="75"/>
  <c r="J16" i="75"/>
  <c r="I19" i="75"/>
  <c r="J19" i="75"/>
  <c r="I22" i="75"/>
  <c r="J22" i="75"/>
  <c r="I26" i="75"/>
  <c r="J26" i="75"/>
  <c r="I28" i="75"/>
  <c r="J28" i="75"/>
  <c r="I30" i="75"/>
  <c r="J30" i="75"/>
  <c r="I31" i="75"/>
  <c r="J31" i="75"/>
  <c r="I33" i="75"/>
  <c r="J33" i="75"/>
  <c r="I36" i="75"/>
  <c r="J36" i="75"/>
  <c r="AI15" i="57"/>
  <c r="AL15" i="57"/>
  <c r="F18" i="34" s="1"/>
  <c r="AZ24" i="31"/>
  <c r="AZ24" i="76" s="1"/>
  <c r="AX15" i="32"/>
  <c r="AW15" i="32"/>
  <c r="B7" i="80"/>
  <c r="B9" i="80"/>
  <c r="B12" i="80"/>
  <c r="AJ12" i="80" s="1"/>
  <c r="B18" i="80"/>
  <c r="B19" i="80"/>
  <c r="B23" i="80"/>
  <c r="B24" i="80"/>
  <c r="B25" i="80"/>
  <c r="B27" i="80"/>
  <c r="B31" i="80"/>
  <c r="B33" i="80"/>
  <c r="B6" i="80"/>
  <c r="B4" i="78"/>
  <c r="C4" i="78"/>
  <c r="D4" i="78"/>
  <c r="E4" i="78"/>
  <c r="F4" i="78"/>
  <c r="G4" i="78"/>
  <c r="H4" i="78"/>
  <c r="I4" i="78"/>
  <c r="D5" i="78"/>
  <c r="E5" i="78"/>
  <c r="B6" i="78"/>
  <c r="C6" i="78"/>
  <c r="H6" i="78"/>
  <c r="I6" i="78"/>
  <c r="H7" i="78"/>
  <c r="I7" i="78"/>
  <c r="D8" i="78"/>
  <c r="E8" i="78"/>
  <c r="H8" i="78"/>
  <c r="I8" i="78"/>
  <c r="B12" i="78"/>
  <c r="C12" i="78"/>
  <c r="D12" i="78"/>
  <c r="E12" i="78"/>
  <c r="H12" i="78"/>
  <c r="I12" i="78"/>
  <c r="D13" i="78"/>
  <c r="E13" i="78"/>
  <c r="H13" i="78"/>
  <c r="I13" i="78"/>
  <c r="D17" i="78"/>
  <c r="E17" i="78"/>
  <c r="B18" i="78"/>
  <c r="C18" i="78"/>
  <c r="D18" i="78"/>
  <c r="E18" i="78"/>
  <c r="F18" i="78"/>
  <c r="G18" i="78"/>
  <c r="H18" i="78"/>
  <c r="I18" i="78"/>
  <c r="B19" i="78"/>
  <c r="C19" i="78"/>
  <c r="D19" i="78"/>
  <c r="E19" i="78"/>
  <c r="F19" i="78"/>
  <c r="G19" i="78"/>
  <c r="H19" i="78"/>
  <c r="I19" i="78"/>
  <c r="H20" i="78"/>
  <c r="I20" i="78"/>
  <c r="B22" i="78"/>
  <c r="C22" i="78"/>
  <c r="D22" i="78"/>
  <c r="E22" i="78"/>
  <c r="H22" i="78"/>
  <c r="I22" i="78"/>
  <c r="B24" i="78"/>
  <c r="C24" i="78"/>
  <c r="D24" i="78"/>
  <c r="E24" i="78"/>
  <c r="B25" i="78"/>
  <c r="C25" i="78"/>
  <c r="D25" i="78"/>
  <c r="E25" i="78"/>
  <c r="H25" i="78"/>
  <c r="I25" i="78"/>
  <c r="B26" i="78"/>
  <c r="C26" i="78"/>
  <c r="H26" i="78"/>
  <c r="I26" i="78"/>
  <c r="D27" i="78"/>
  <c r="E27" i="78"/>
  <c r="H27" i="78"/>
  <c r="I27" i="78"/>
  <c r="B28" i="78"/>
  <c r="C28" i="78"/>
  <c r="H28" i="78"/>
  <c r="I28" i="78"/>
  <c r="B32" i="78"/>
  <c r="C32" i="78"/>
  <c r="D32" i="78"/>
  <c r="E32" i="78"/>
  <c r="F32" i="78"/>
  <c r="G32" i="78"/>
  <c r="H32" i="78"/>
  <c r="I32" i="78"/>
  <c r="B34" i="78"/>
  <c r="C34" i="78"/>
  <c r="D34" i="78"/>
  <c r="E34" i="78"/>
  <c r="H34" i="78"/>
  <c r="I34" i="78"/>
  <c r="D37" i="78"/>
  <c r="E37" i="78"/>
  <c r="H37" i="78"/>
  <c r="I37" i="78"/>
  <c r="C3" i="78"/>
  <c r="D3" i="78"/>
  <c r="E3" i="78"/>
  <c r="H3" i="78"/>
  <c r="I3" i="78"/>
  <c r="B3" i="78"/>
  <c r="AX5" i="77"/>
  <c r="AX6" i="77"/>
  <c r="AZ6" i="77" s="1"/>
  <c r="AX9" i="77"/>
  <c r="AX10" i="77"/>
  <c r="AX12" i="77"/>
  <c r="AX13" i="77"/>
  <c r="AZ13" i="77" s="1"/>
  <c r="AX14" i="77"/>
  <c r="AX17" i="77"/>
  <c r="AX20" i="77"/>
  <c r="AZ20" i="77" s="1"/>
  <c r="AX21" i="77"/>
  <c r="AX22" i="77"/>
  <c r="AX23" i="77"/>
  <c r="AX28" i="77"/>
  <c r="AX31" i="77"/>
  <c r="AX35" i="77"/>
  <c r="B5" i="77"/>
  <c r="C5" i="77"/>
  <c r="BA5" i="77" s="1"/>
  <c r="B9" i="77"/>
  <c r="C9" i="77"/>
  <c r="B16" i="77"/>
  <c r="C16" i="77"/>
  <c r="B17" i="77"/>
  <c r="C17" i="77"/>
  <c r="B18" i="77"/>
  <c r="C18" i="77"/>
  <c r="B19" i="77"/>
  <c r="C19" i="77"/>
  <c r="B21" i="77"/>
  <c r="C21" i="77"/>
  <c r="B23" i="77"/>
  <c r="C23" i="77"/>
  <c r="BA23" i="77" s="1"/>
  <c r="B25" i="77"/>
  <c r="C25" i="77"/>
  <c r="B26" i="77"/>
  <c r="AZ26" i="77"/>
  <c r="C26" i="77"/>
  <c r="B27" i="77"/>
  <c r="C27" i="77"/>
  <c r="B28" i="77"/>
  <c r="C28" i="77"/>
  <c r="B29" i="77"/>
  <c r="C29" i="77"/>
  <c r="B31" i="77"/>
  <c r="C31" i="77"/>
  <c r="B32" i="77"/>
  <c r="C32" i="77"/>
  <c r="B33" i="77"/>
  <c r="C33" i="77"/>
  <c r="B37" i="77"/>
  <c r="C37" i="77"/>
  <c r="B38" i="77"/>
  <c r="C38" i="77"/>
  <c r="T40" i="77"/>
  <c r="U40" i="77"/>
  <c r="V40" i="77"/>
  <c r="W40" i="77"/>
  <c r="C16" i="76"/>
  <c r="C15" i="76"/>
  <c r="B15" i="76"/>
  <c r="J37" i="76"/>
  <c r="K37" i="76"/>
  <c r="L4" i="76"/>
  <c r="M4" i="76"/>
  <c r="D4" i="76"/>
  <c r="BB4" i="76" s="1"/>
  <c r="E4" i="76"/>
  <c r="J4" i="76"/>
  <c r="K4" i="76"/>
  <c r="N4" i="76"/>
  <c r="O4" i="76"/>
  <c r="P4" i="76"/>
  <c r="Q4" i="76"/>
  <c r="R4" i="76"/>
  <c r="S4" i="76"/>
  <c r="Z4" i="76"/>
  <c r="AA4" i="76"/>
  <c r="AB4" i="76"/>
  <c r="AC4" i="76"/>
  <c r="AF4" i="76"/>
  <c r="AG4" i="76"/>
  <c r="AR4" i="76"/>
  <c r="AS4" i="76"/>
  <c r="AT4" i="76"/>
  <c r="AU4" i="76"/>
  <c r="AZ4" i="76"/>
  <c r="BA4" i="76"/>
  <c r="F5" i="76"/>
  <c r="G5" i="76"/>
  <c r="J5" i="76"/>
  <c r="K5" i="76"/>
  <c r="V5" i="76"/>
  <c r="W5" i="76"/>
  <c r="AN5" i="76"/>
  <c r="AO5" i="76"/>
  <c r="AX5" i="76"/>
  <c r="AY5" i="76"/>
  <c r="AZ5" i="76"/>
  <c r="BA5" i="76"/>
  <c r="D6" i="76"/>
  <c r="E6" i="76"/>
  <c r="J6" i="76"/>
  <c r="K6" i="76"/>
  <c r="R6" i="76"/>
  <c r="S6" i="76"/>
  <c r="T6" i="76"/>
  <c r="U6" i="76"/>
  <c r="X6" i="76"/>
  <c r="Y6" i="76"/>
  <c r="Z6" i="76"/>
  <c r="AA6" i="76"/>
  <c r="AB6" i="76"/>
  <c r="AC6" i="76"/>
  <c r="AN6" i="76"/>
  <c r="AO6" i="76"/>
  <c r="AZ6" i="76"/>
  <c r="BA6" i="76"/>
  <c r="D7" i="76"/>
  <c r="E7" i="76"/>
  <c r="J7" i="76"/>
  <c r="K7" i="76"/>
  <c r="L7" i="76"/>
  <c r="M7" i="76"/>
  <c r="N7" i="76"/>
  <c r="O7" i="76"/>
  <c r="R7" i="76"/>
  <c r="S7" i="76"/>
  <c r="T7" i="76"/>
  <c r="U7" i="76"/>
  <c r="X7" i="76"/>
  <c r="Y7" i="76"/>
  <c r="Z7" i="76"/>
  <c r="AA7" i="76"/>
  <c r="AB7" i="76"/>
  <c r="AC7" i="76"/>
  <c r="AN7" i="76"/>
  <c r="AO7" i="76"/>
  <c r="BA7" i="76"/>
  <c r="D8" i="76"/>
  <c r="E8" i="76"/>
  <c r="J8" i="76"/>
  <c r="K8" i="76"/>
  <c r="L8" i="76"/>
  <c r="M8" i="76"/>
  <c r="BC8" i="76" s="1"/>
  <c r="N8" i="76"/>
  <c r="O8" i="76"/>
  <c r="R8" i="76"/>
  <c r="S8" i="76"/>
  <c r="T8" i="76"/>
  <c r="U8" i="76"/>
  <c r="X8" i="76"/>
  <c r="Y8" i="76"/>
  <c r="Z8" i="76"/>
  <c r="AA8" i="76"/>
  <c r="AB8" i="76"/>
  <c r="AC8" i="76"/>
  <c r="AJ8" i="76"/>
  <c r="AK8" i="76"/>
  <c r="AR8" i="76"/>
  <c r="AS8" i="76"/>
  <c r="AT8" i="76"/>
  <c r="AU8" i="76"/>
  <c r="AZ8" i="76"/>
  <c r="BA8" i="76"/>
  <c r="J12" i="76"/>
  <c r="K12" i="76"/>
  <c r="Z12" i="76"/>
  <c r="BB12" i="76" s="1"/>
  <c r="AA12" i="76"/>
  <c r="AN12" i="76"/>
  <c r="AO12" i="76"/>
  <c r="AZ12" i="76"/>
  <c r="BA12" i="76"/>
  <c r="D13" i="76"/>
  <c r="E13" i="76"/>
  <c r="J13" i="76"/>
  <c r="K13" i="76"/>
  <c r="L13" i="76"/>
  <c r="M13" i="76"/>
  <c r="N13" i="76"/>
  <c r="O13" i="76"/>
  <c r="R13" i="76"/>
  <c r="S13" i="76"/>
  <c r="Z13" i="76"/>
  <c r="AA13" i="76"/>
  <c r="AB13" i="76"/>
  <c r="AC13" i="76"/>
  <c r="AR13" i="76"/>
  <c r="AS13" i="76"/>
  <c r="AT13" i="76"/>
  <c r="AU13" i="76"/>
  <c r="AZ13" i="76"/>
  <c r="BA13" i="76"/>
  <c r="D14" i="76"/>
  <c r="E14" i="76"/>
  <c r="L14" i="76"/>
  <c r="M14" i="76"/>
  <c r="P14" i="76"/>
  <c r="Q14" i="76"/>
  <c r="R14" i="76"/>
  <c r="S14" i="76"/>
  <c r="X14" i="76"/>
  <c r="Y14" i="76"/>
  <c r="Z14" i="76"/>
  <c r="AA14" i="76"/>
  <c r="AT14" i="76"/>
  <c r="AU14" i="76"/>
  <c r="D15" i="76"/>
  <c r="E15" i="76"/>
  <c r="F15" i="76"/>
  <c r="G15" i="76"/>
  <c r="I15" i="76"/>
  <c r="J15" i="76"/>
  <c r="K15" i="76"/>
  <c r="L15" i="76"/>
  <c r="M15" i="76"/>
  <c r="P15" i="76"/>
  <c r="Q15" i="76"/>
  <c r="R15" i="76"/>
  <c r="S15" i="76"/>
  <c r="T15" i="76"/>
  <c r="U15" i="76"/>
  <c r="V15" i="76"/>
  <c r="W15" i="76"/>
  <c r="X15" i="76"/>
  <c r="Y15" i="76"/>
  <c r="Z15" i="76"/>
  <c r="AA15" i="76"/>
  <c r="AB15" i="76"/>
  <c r="AC15" i="76"/>
  <c r="AH15" i="76"/>
  <c r="AI15" i="76"/>
  <c r="AJ15" i="76"/>
  <c r="AK15" i="76"/>
  <c r="AM15" i="76"/>
  <c r="AP15" i="76"/>
  <c r="AQ15" i="76"/>
  <c r="AR15" i="76"/>
  <c r="AS15" i="76"/>
  <c r="AT15" i="76"/>
  <c r="AU15" i="76"/>
  <c r="AV15" i="76"/>
  <c r="AW15" i="76"/>
  <c r="AX15" i="76"/>
  <c r="AY15" i="76"/>
  <c r="D16" i="76"/>
  <c r="E16" i="76"/>
  <c r="F16" i="76"/>
  <c r="G16" i="76"/>
  <c r="L16" i="76"/>
  <c r="M16" i="76"/>
  <c r="P16" i="76"/>
  <c r="Q16" i="76"/>
  <c r="R16" i="76"/>
  <c r="S16" i="76"/>
  <c r="V16" i="76"/>
  <c r="W16" i="76"/>
  <c r="X16" i="76"/>
  <c r="Y16" i="76"/>
  <c r="Z16" i="76"/>
  <c r="AA16" i="76"/>
  <c r="AH16" i="76"/>
  <c r="AI16" i="76"/>
  <c r="AJ16" i="76"/>
  <c r="AK16" i="76"/>
  <c r="AL16" i="76"/>
  <c r="AM16" i="76"/>
  <c r="AP16" i="76"/>
  <c r="AQ16" i="76"/>
  <c r="AR16" i="76"/>
  <c r="AS16" i="76"/>
  <c r="AV16" i="76"/>
  <c r="AW16" i="76"/>
  <c r="AX16" i="76"/>
  <c r="AY16" i="76"/>
  <c r="D17" i="76"/>
  <c r="E17" i="76"/>
  <c r="H17" i="76"/>
  <c r="I17" i="76"/>
  <c r="J17" i="76"/>
  <c r="K17" i="76"/>
  <c r="BC17" i="76" s="1"/>
  <c r="L17" i="76"/>
  <c r="M17" i="76"/>
  <c r="R17" i="76"/>
  <c r="S17" i="76"/>
  <c r="T17" i="76"/>
  <c r="U17" i="76"/>
  <c r="X17" i="76"/>
  <c r="Y17" i="76"/>
  <c r="Z17" i="76"/>
  <c r="AA17" i="76"/>
  <c r="AB17" i="76"/>
  <c r="AC17" i="76"/>
  <c r="AR17" i="76"/>
  <c r="AS17" i="76"/>
  <c r="AZ17" i="76"/>
  <c r="BA17" i="76"/>
  <c r="D18" i="76"/>
  <c r="E18" i="76"/>
  <c r="J18" i="76"/>
  <c r="K18" i="76"/>
  <c r="L18" i="76"/>
  <c r="M18" i="76"/>
  <c r="N18" i="76"/>
  <c r="O18" i="76"/>
  <c r="P18" i="76"/>
  <c r="Q18" i="76"/>
  <c r="R18" i="76"/>
  <c r="S18" i="76"/>
  <c r="T18" i="76"/>
  <c r="U18" i="76"/>
  <c r="Z18" i="76"/>
  <c r="AA18" i="76"/>
  <c r="AB18" i="76"/>
  <c r="AC18" i="76"/>
  <c r="AN18" i="76"/>
  <c r="AO18" i="76"/>
  <c r="AR18" i="76"/>
  <c r="AS18" i="76"/>
  <c r="AT18" i="76"/>
  <c r="AU18" i="76"/>
  <c r="AZ18" i="76"/>
  <c r="BA18" i="76"/>
  <c r="J19" i="76"/>
  <c r="K19" i="76"/>
  <c r="Z19" i="76"/>
  <c r="AA19" i="76"/>
  <c r="AB19" i="76"/>
  <c r="AC19" i="76"/>
  <c r="BC19" i="76" s="1"/>
  <c r="AN19" i="76"/>
  <c r="BB19" i="76" s="1"/>
  <c r="AO19" i="76"/>
  <c r="AZ19" i="76"/>
  <c r="BA19" i="76"/>
  <c r="J20" i="76"/>
  <c r="K20" i="76"/>
  <c r="R20" i="76"/>
  <c r="S20" i="76"/>
  <c r="AB20" i="76"/>
  <c r="AC20" i="76"/>
  <c r="AR20" i="76"/>
  <c r="AS20" i="76"/>
  <c r="AT20" i="76"/>
  <c r="AU20" i="76"/>
  <c r="AZ20" i="76"/>
  <c r="BA20" i="76"/>
  <c r="D21" i="76"/>
  <c r="E21" i="76"/>
  <c r="J21" i="76"/>
  <c r="K21" i="76"/>
  <c r="L21" i="76"/>
  <c r="M21" i="76"/>
  <c r="N21" i="76"/>
  <c r="O21" i="76"/>
  <c r="BC21" i="76" s="1"/>
  <c r="P21" i="76"/>
  <c r="Q21" i="76"/>
  <c r="R21" i="76"/>
  <c r="S21" i="76"/>
  <c r="T21" i="76"/>
  <c r="U21" i="76"/>
  <c r="Z21" i="76"/>
  <c r="AA21" i="76"/>
  <c r="AB21" i="76"/>
  <c r="AC21" i="76"/>
  <c r="AR21" i="76"/>
  <c r="AS21" i="76"/>
  <c r="AZ21" i="76"/>
  <c r="BA21" i="76"/>
  <c r="J22" i="76"/>
  <c r="K22" i="76"/>
  <c r="P22" i="76"/>
  <c r="Q22" i="76"/>
  <c r="R22" i="76"/>
  <c r="S22" i="76"/>
  <c r="Z22" i="76"/>
  <c r="AA22" i="76"/>
  <c r="AB22" i="76"/>
  <c r="AC22" i="76"/>
  <c r="AR22" i="76"/>
  <c r="AS22" i="76"/>
  <c r="AT22" i="76"/>
  <c r="AU22" i="76"/>
  <c r="AZ22" i="76"/>
  <c r="BA22" i="76"/>
  <c r="J23" i="76"/>
  <c r="K23" i="76"/>
  <c r="AD23" i="76"/>
  <c r="AE23" i="76"/>
  <c r="AN23" i="76"/>
  <c r="AO23" i="76"/>
  <c r="AZ23" i="76"/>
  <c r="BA23" i="76"/>
  <c r="J24" i="76"/>
  <c r="K24" i="76"/>
  <c r="AB24" i="76"/>
  <c r="AC24" i="76"/>
  <c r="AN24" i="76"/>
  <c r="AO24" i="76"/>
  <c r="AV24" i="76"/>
  <c r="AW24" i="76"/>
  <c r="D25" i="76"/>
  <c r="E25" i="76"/>
  <c r="J25" i="76"/>
  <c r="K25" i="76"/>
  <c r="N25" i="76"/>
  <c r="O25" i="76"/>
  <c r="P25" i="76"/>
  <c r="Q25" i="76"/>
  <c r="R25" i="76"/>
  <c r="S25" i="76"/>
  <c r="T25" i="76"/>
  <c r="U25" i="76"/>
  <c r="V25" i="76"/>
  <c r="W25" i="76"/>
  <c r="X25" i="76"/>
  <c r="Y25" i="76"/>
  <c r="Z25" i="76"/>
  <c r="AA25" i="76"/>
  <c r="AB25" i="76"/>
  <c r="AC25" i="76"/>
  <c r="AD25" i="76"/>
  <c r="AE25" i="76"/>
  <c r="AH25" i="76"/>
  <c r="AI25" i="76"/>
  <c r="AN25" i="76"/>
  <c r="AO25" i="76"/>
  <c r="AP25" i="76"/>
  <c r="AQ25" i="76"/>
  <c r="AR25" i="76"/>
  <c r="AS25" i="76"/>
  <c r="AT25" i="76"/>
  <c r="AU25" i="76"/>
  <c r="D26" i="76"/>
  <c r="E26" i="76"/>
  <c r="F26" i="76"/>
  <c r="G26" i="76"/>
  <c r="J26" i="76"/>
  <c r="K26" i="76"/>
  <c r="L26" i="76"/>
  <c r="M26" i="76"/>
  <c r="P26" i="76"/>
  <c r="Q26" i="76"/>
  <c r="R26" i="76"/>
  <c r="S26" i="76"/>
  <c r="T26" i="76"/>
  <c r="U26" i="76"/>
  <c r="V26" i="76"/>
  <c r="W26" i="76"/>
  <c r="X26" i="76"/>
  <c r="Y26" i="76"/>
  <c r="Z26" i="76"/>
  <c r="AA26" i="76"/>
  <c r="AB26" i="76"/>
  <c r="AC26" i="76"/>
  <c r="AD26" i="76"/>
  <c r="AE26" i="76"/>
  <c r="AH26" i="76"/>
  <c r="AI26" i="76"/>
  <c r="AJ26" i="76"/>
  <c r="AK26" i="76"/>
  <c r="AN26" i="76"/>
  <c r="AO26" i="76"/>
  <c r="AP26" i="76"/>
  <c r="AQ26" i="76"/>
  <c r="AR26" i="76"/>
  <c r="AS26" i="76"/>
  <c r="D27" i="76"/>
  <c r="E27" i="76"/>
  <c r="J27" i="76"/>
  <c r="K27" i="76"/>
  <c r="R27" i="76"/>
  <c r="S27" i="76"/>
  <c r="X27" i="76"/>
  <c r="Y27" i="76"/>
  <c r="Z27" i="76"/>
  <c r="AA27" i="76"/>
  <c r="AB27" i="76"/>
  <c r="AC27" i="76"/>
  <c r="AN27" i="76"/>
  <c r="AO27" i="76"/>
  <c r="AR27" i="76"/>
  <c r="AS27" i="76"/>
  <c r="AT27" i="76"/>
  <c r="AU27" i="76"/>
  <c r="AZ27" i="76"/>
  <c r="BA27" i="76"/>
  <c r="D28" i="76"/>
  <c r="E28" i="76"/>
  <c r="J28" i="76"/>
  <c r="K28" i="76"/>
  <c r="R28" i="76"/>
  <c r="S28" i="76"/>
  <c r="T28" i="76"/>
  <c r="U28" i="76"/>
  <c r="Z28" i="76"/>
  <c r="AA28" i="76"/>
  <c r="AT28" i="76"/>
  <c r="AU28" i="76"/>
  <c r="AZ28" i="76"/>
  <c r="BA28" i="76"/>
  <c r="D29" i="76"/>
  <c r="E29" i="76"/>
  <c r="J29" i="76"/>
  <c r="K29" i="76"/>
  <c r="L29" i="76"/>
  <c r="M29" i="76"/>
  <c r="BC29" i="76" s="1"/>
  <c r="P29" i="76"/>
  <c r="Q29" i="76"/>
  <c r="R29" i="76"/>
  <c r="S29" i="76"/>
  <c r="X29" i="76"/>
  <c r="Y29" i="76"/>
  <c r="Z29" i="76"/>
  <c r="AA29" i="76"/>
  <c r="AH29" i="76"/>
  <c r="AI29" i="76"/>
  <c r="AJ29" i="76"/>
  <c r="AK29" i="76"/>
  <c r="AP29" i="76"/>
  <c r="AQ29" i="76"/>
  <c r="AZ29" i="76"/>
  <c r="BA29" i="76"/>
  <c r="D30" i="76"/>
  <c r="E30" i="76"/>
  <c r="J30" i="76"/>
  <c r="K30" i="76"/>
  <c r="L30" i="76"/>
  <c r="M30" i="76"/>
  <c r="N30" i="76"/>
  <c r="O30" i="76"/>
  <c r="R30" i="76"/>
  <c r="S30" i="76"/>
  <c r="Z30" i="76"/>
  <c r="AA30" i="76"/>
  <c r="AB30" i="76"/>
  <c r="AC30" i="76"/>
  <c r="AR30" i="76"/>
  <c r="AS30" i="76"/>
  <c r="AT30" i="76"/>
  <c r="AU30" i="76"/>
  <c r="AZ30" i="76"/>
  <c r="BA30" i="76"/>
  <c r="G31" i="76"/>
  <c r="J31" i="76"/>
  <c r="K31" i="76"/>
  <c r="R31" i="76"/>
  <c r="S31" i="76"/>
  <c r="V31" i="76"/>
  <c r="W31" i="76"/>
  <c r="X31" i="76"/>
  <c r="Y31" i="76"/>
  <c r="AB31" i="76"/>
  <c r="AC31" i="76"/>
  <c r="AD31" i="76"/>
  <c r="AE31" i="76"/>
  <c r="AH31" i="76"/>
  <c r="AI31" i="76"/>
  <c r="AJ31" i="76"/>
  <c r="AK31" i="76"/>
  <c r="D32" i="76"/>
  <c r="E32" i="76"/>
  <c r="F32" i="76"/>
  <c r="G32" i="76"/>
  <c r="J32" i="76"/>
  <c r="K32" i="76"/>
  <c r="P32" i="76"/>
  <c r="Q32" i="76"/>
  <c r="R32" i="76"/>
  <c r="S32" i="76"/>
  <c r="T32" i="76"/>
  <c r="U32" i="76"/>
  <c r="Z32" i="76"/>
  <c r="AA32" i="76"/>
  <c r="AB32" i="76"/>
  <c r="AC32" i="76"/>
  <c r="AH32" i="76"/>
  <c r="AI32" i="76"/>
  <c r="AJ32" i="76"/>
  <c r="AK32" i="76"/>
  <c r="AN32" i="76"/>
  <c r="AO32" i="76"/>
  <c r="AP32" i="76"/>
  <c r="AQ32" i="76"/>
  <c r="AR32" i="76"/>
  <c r="AS32" i="76"/>
  <c r="AT32" i="76"/>
  <c r="AU32" i="76"/>
  <c r="AZ32" i="76"/>
  <c r="BA32" i="76"/>
  <c r="J34" i="76"/>
  <c r="K34" i="76"/>
  <c r="R34" i="76"/>
  <c r="S34" i="76"/>
  <c r="T34" i="76"/>
  <c r="U34" i="76"/>
  <c r="X34" i="76"/>
  <c r="Y34" i="76"/>
  <c r="Z34" i="76"/>
  <c r="AA34" i="76"/>
  <c r="AB34" i="76"/>
  <c r="AC34" i="76"/>
  <c r="AN34" i="76"/>
  <c r="AO34" i="76"/>
  <c r="AT34" i="76"/>
  <c r="AU34" i="76"/>
  <c r="AZ34" i="76"/>
  <c r="BA34" i="76"/>
  <c r="D35" i="76"/>
  <c r="E35" i="76"/>
  <c r="J35" i="76"/>
  <c r="K35" i="76"/>
  <c r="R35" i="76"/>
  <c r="S35" i="76"/>
  <c r="T35" i="76"/>
  <c r="U35" i="76"/>
  <c r="X35" i="76"/>
  <c r="Y35" i="76"/>
  <c r="Z35" i="76"/>
  <c r="AA35" i="76"/>
  <c r="AB35" i="76"/>
  <c r="AC35" i="76"/>
  <c r="D36" i="76"/>
  <c r="E36" i="76"/>
  <c r="F36" i="76"/>
  <c r="G36" i="76"/>
  <c r="R36" i="76"/>
  <c r="S36" i="76"/>
  <c r="X36" i="76"/>
  <c r="Y36" i="76"/>
  <c r="Z36" i="76"/>
  <c r="AA36" i="76"/>
  <c r="AH36" i="76"/>
  <c r="AI36" i="76"/>
  <c r="AJ36" i="76"/>
  <c r="AK36" i="76"/>
  <c r="AP36" i="76"/>
  <c r="AQ36" i="76"/>
  <c r="AX36" i="76"/>
  <c r="AY36" i="76"/>
  <c r="R37" i="76"/>
  <c r="S37" i="76"/>
  <c r="T37" i="76"/>
  <c r="U37" i="76"/>
  <c r="X37" i="76"/>
  <c r="Y37" i="76"/>
  <c r="Z37" i="76"/>
  <c r="AA37" i="76"/>
  <c r="AB37" i="76"/>
  <c r="AC37" i="76"/>
  <c r="AN37" i="76"/>
  <c r="AO37" i="76"/>
  <c r="AT37" i="76"/>
  <c r="AU37" i="76"/>
  <c r="AZ37" i="76"/>
  <c r="BA37" i="76"/>
  <c r="J3" i="76"/>
  <c r="K3" i="76"/>
  <c r="N3" i="76"/>
  <c r="O3" i="76"/>
  <c r="R3" i="76"/>
  <c r="S3" i="76"/>
  <c r="Z3" i="76"/>
  <c r="AA3" i="76"/>
  <c r="AB3" i="76"/>
  <c r="AC3" i="76"/>
  <c r="AN3" i="76"/>
  <c r="AO3" i="76"/>
  <c r="AR3" i="76"/>
  <c r="AT3" i="76"/>
  <c r="AU3" i="76"/>
  <c r="AZ3" i="76"/>
  <c r="BA3" i="76"/>
  <c r="BC33" i="76"/>
  <c r="BB33" i="76"/>
  <c r="BB20" i="76"/>
  <c r="BC11" i="76"/>
  <c r="BB11" i="76"/>
  <c r="BC10" i="76"/>
  <c r="BB10" i="76"/>
  <c r="BC9" i="76"/>
  <c r="BB9" i="76"/>
  <c r="C7" i="80"/>
  <c r="D7" i="80"/>
  <c r="E7" i="80"/>
  <c r="F7" i="80"/>
  <c r="G7" i="80"/>
  <c r="H7" i="80"/>
  <c r="I7" i="80"/>
  <c r="J7" i="80"/>
  <c r="K7" i="80"/>
  <c r="N7" i="80"/>
  <c r="O7" i="80"/>
  <c r="V7" i="80"/>
  <c r="W7" i="80"/>
  <c r="AF7" i="80"/>
  <c r="AG7" i="80"/>
  <c r="AH7" i="80"/>
  <c r="AI7" i="80"/>
  <c r="D8" i="80"/>
  <c r="E8" i="80"/>
  <c r="F8" i="80"/>
  <c r="G8" i="80"/>
  <c r="H8" i="80"/>
  <c r="I8" i="80"/>
  <c r="J8" i="80"/>
  <c r="AJ8" i="80" s="1"/>
  <c r="K8" i="80"/>
  <c r="C9" i="80"/>
  <c r="D9" i="80"/>
  <c r="E9" i="80"/>
  <c r="F9" i="80"/>
  <c r="G9" i="80"/>
  <c r="AK9" i="80" s="1"/>
  <c r="H9" i="80"/>
  <c r="I9" i="80"/>
  <c r="J9" i="80"/>
  <c r="K9" i="80"/>
  <c r="N9" i="80"/>
  <c r="O9" i="80"/>
  <c r="D10" i="80"/>
  <c r="E10" i="80"/>
  <c r="F10" i="80"/>
  <c r="G10" i="80"/>
  <c r="H10" i="80"/>
  <c r="I10" i="80"/>
  <c r="J10" i="80"/>
  <c r="K10" i="80"/>
  <c r="N10" i="80"/>
  <c r="O10" i="80"/>
  <c r="D11" i="80"/>
  <c r="E11" i="80"/>
  <c r="F11" i="80"/>
  <c r="AJ11" i="80" s="1"/>
  <c r="G11" i="80"/>
  <c r="H11" i="80"/>
  <c r="I11" i="80"/>
  <c r="J11" i="80"/>
  <c r="K11" i="80"/>
  <c r="N11" i="80"/>
  <c r="O11" i="80"/>
  <c r="C12" i="80"/>
  <c r="AK12" i="80"/>
  <c r="D13" i="80"/>
  <c r="E13" i="80"/>
  <c r="F13" i="80"/>
  <c r="G13" i="80"/>
  <c r="H13" i="80"/>
  <c r="I13" i="80"/>
  <c r="J13" i="80"/>
  <c r="K13" i="80"/>
  <c r="N13" i="80"/>
  <c r="O13" i="80"/>
  <c r="P13" i="80"/>
  <c r="Q13" i="80"/>
  <c r="R13" i="80"/>
  <c r="S13" i="80"/>
  <c r="T13" i="80"/>
  <c r="U13" i="80"/>
  <c r="V13" i="80"/>
  <c r="W13" i="80"/>
  <c r="X13" i="80"/>
  <c r="Y13" i="80"/>
  <c r="D14" i="80"/>
  <c r="E14" i="80"/>
  <c r="F14" i="80"/>
  <c r="G14" i="80"/>
  <c r="H14" i="80"/>
  <c r="I14" i="80"/>
  <c r="J14" i="80"/>
  <c r="K14" i="80"/>
  <c r="N14" i="80"/>
  <c r="O14" i="80"/>
  <c r="R14" i="80"/>
  <c r="S14" i="80"/>
  <c r="T14" i="80"/>
  <c r="U14" i="80"/>
  <c r="D15" i="80"/>
  <c r="E15" i="80"/>
  <c r="F15" i="80"/>
  <c r="G15" i="80"/>
  <c r="H15" i="80"/>
  <c r="I15" i="80"/>
  <c r="J15" i="80"/>
  <c r="K15" i="80"/>
  <c r="N15" i="80"/>
  <c r="O15" i="80"/>
  <c r="P15" i="80"/>
  <c r="Q15" i="80"/>
  <c r="D16" i="80"/>
  <c r="E16" i="80"/>
  <c r="F16" i="80"/>
  <c r="G16" i="80"/>
  <c r="H16" i="80"/>
  <c r="I16" i="80"/>
  <c r="J16" i="80"/>
  <c r="K16" i="80"/>
  <c r="AH16" i="80"/>
  <c r="AI16" i="80"/>
  <c r="C18" i="80"/>
  <c r="D18" i="80"/>
  <c r="E18" i="80"/>
  <c r="F18" i="80"/>
  <c r="G18" i="80"/>
  <c r="H18" i="80"/>
  <c r="I18" i="80"/>
  <c r="J18" i="80"/>
  <c r="K18" i="80"/>
  <c r="L18" i="80"/>
  <c r="M18" i="80"/>
  <c r="N18" i="80"/>
  <c r="O18" i="80"/>
  <c r="Z18" i="80"/>
  <c r="AA18" i="80"/>
  <c r="AB18" i="80"/>
  <c r="AC18" i="80"/>
  <c r="AD18" i="80"/>
  <c r="AE18" i="80"/>
  <c r="AF18" i="80"/>
  <c r="AG18" i="80"/>
  <c r="AH18" i="80"/>
  <c r="AI18" i="80"/>
  <c r="C19" i="80"/>
  <c r="D19" i="80"/>
  <c r="E19" i="80"/>
  <c r="F19" i="80"/>
  <c r="G19" i="80"/>
  <c r="H19" i="80"/>
  <c r="I19" i="80"/>
  <c r="J19" i="80"/>
  <c r="K19" i="80"/>
  <c r="L19" i="80"/>
  <c r="M19" i="80"/>
  <c r="Z19" i="80"/>
  <c r="AB19" i="80"/>
  <c r="AC19" i="80"/>
  <c r="AD19" i="80"/>
  <c r="AE19" i="80"/>
  <c r="AF19" i="80"/>
  <c r="AG19" i="80"/>
  <c r="AH19" i="80"/>
  <c r="AI19" i="80"/>
  <c r="D20" i="80"/>
  <c r="E20" i="80"/>
  <c r="F20" i="80"/>
  <c r="G20" i="80"/>
  <c r="H20" i="80"/>
  <c r="I20" i="80"/>
  <c r="J20" i="80"/>
  <c r="K20" i="80"/>
  <c r="N20" i="80"/>
  <c r="O20" i="80"/>
  <c r="D21" i="80"/>
  <c r="E21" i="80"/>
  <c r="F21" i="80"/>
  <c r="G21" i="80"/>
  <c r="H21" i="80"/>
  <c r="I21" i="80"/>
  <c r="J21" i="80"/>
  <c r="K21" i="80"/>
  <c r="AF21" i="80"/>
  <c r="AG21" i="80"/>
  <c r="D22" i="80"/>
  <c r="E22" i="80"/>
  <c r="F22" i="80"/>
  <c r="G22" i="80"/>
  <c r="H22" i="80"/>
  <c r="I22" i="80"/>
  <c r="J22" i="80"/>
  <c r="C23" i="80"/>
  <c r="D23" i="80"/>
  <c r="E23" i="80"/>
  <c r="F23" i="80"/>
  <c r="G23" i="80"/>
  <c r="H23" i="80"/>
  <c r="I23" i="80"/>
  <c r="J23" i="80"/>
  <c r="K23" i="80"/>
  <c r="N23" i="80"/>
  <c r="O23" i="80"/>
  <c r="Z23" i="80"/>
  <c r="AA23" i="80"/>
  <c r="C24" i="80"/>
  <c r="D24" i="80"/>
  <c r="E24" i="80"/>
  <c r="F24" i="80"/>
  <c r="G24" i="80"/>
  <c r="H24" i="80"/>
  <c r="I24" i="80"/>
  <c r="J24" i="80"/>
  <c r="K24" i="80"/>
  <c r="N24" i="80"/>
  <c r="O24" i="80"/>
  <c r="C25" i="80"/>
  <c r="D25" i="80"/>
  <c r="E25" i="80"/>
  <c r="F25" i="80"/>
  <c r="G25" i="80"/>
  <c r="H25" i="80"/>
  <c r="I25" i="80"/>
  <c r="J25" i="80"/>
  <c r="K25" i="80"/>
  <c r="L25" i="80"/>
  <c r="M25" i="80"/>
  <c r="D26" i="80"/>
  <c r="E26" i="80"/>
  <c r="F26" i="80"/>
  <c r="G26" i="80"/>
  <c r="H26" i="80"/>
  <c r="I26" i="80"/>
  <c r="J26" i="80"/>
  <c r="K26" i="80"/>
  <c r="N26" i="80"/>
  <c r="O26" i="80"/>
  <c r="C27" i="80"/>
  <c r="F27" i="80"/>
  <c r="G27" i="80"/>
  <c r="H27" i="80"/>
  <c r="I27" i="80"/>
  <c r="AF27" i="80"/>
  <c r="AG27" i="80"/>
  <c r="F28" i="80"/>
  <c r="G28" i="80"/>
  <c r="H28" i="80"/>
  <c r="I28" i="80"/>
  <c r="J28" i="80"/>
  <c r="K28" i="80"/>
  <c r="X28" i="80"/>
  <c r="Y28" i="80"/>
  <c r="D29" i="80"/>
  <c r="E29" i="80"/>
  <c r="F29" i="80"/>
  <c r="G29" i="80"/>
  <c r="H29" i="80"/>
  <c r="I29" i="80"/>
  <c r="J29" i="80"/>
  <c r="K29" i="80"/>
  <c r="N29" i="80"/>
  <c r="O29" i="80"/>
  <c r="P29" i="80"/>
  <c r="Q29" i="80"/>
  <c r="R29" i="80"/>
  <c r="S29" i="80"/>
  <c r="T29" i="80"/>
  <c r="U29" i="80"/>
  <c r="V29" i="80"/>
  <c r="W29" i="80"/>
  <c r="X29" i="80"/>
  <c r="Y29" i="80"/>
  <c r="D30" i="80"/>
  <c r="AJ30" i="80"/>
  <c r="E30" i="80"/>
  <c r="L30" i="80"/>
  <c r="M30" i="80"/>
  <c r="AK30" i="80"/>
  <c r="C31" i="80"/>
  <c r="D31" i="80"/>
  <c r="E31" i="80"/>
  <c r="F31" i="80"/>
  <c r="G31" i="80"/>
  <c r="H31" i="80"/>
  <c r="I31" i="80"/>
  <c r="J31" i="80"/>
  <c r="K31" i="80"/>
  <c r="L31" i="80"/>
  <c r="M31" i="80"/>
  <c r="N31" i="80"/>
  <c r="O31" i="80"/>
  <c r="AB31" i="80"/>
  <c r="AD31" i="80"/>
  <c r="AE31" i="80"/>
  <c r="AF31" i="80"/>
  <c r="AG31" i="80"/>
  <c r="AH31" i="80"/>
  <c r="AI31" i="80"/>
  <c r="C33" i="80"/>
  <c r="D33" i="80"/>
  <c r="AJ33" i="80" s="1"/>
  <c r="E33" i="80"/>
  <c r="F33" i="80"/>
  <c r="G33" i="80"/>
  <c r="H33" i="80"/>
  <c r="I33" i="80"/>
  <c r="D34" i="80"/>
  <c r="E34" i="80"/>
  <c r="F34" i="80"/>
  <c r="G34" i="80"/>
  <c r="H34" i="80"/>
  <c r="I34" i="80"/>
  <c r="J34" i="80"/>
  <c r="K34" i="80"/>
  <c r="N34" i="80"/>
  <c r="O34" i="80"/>
  <c r="Q34" i="80"/>
  <c r="R34" i="80"/>
  <c r="S34" i="80"/>
  <c r="T34" i="80"/>
  <c r="U34" i="80"/>
  <c r="D35" i="80"/>
  <c r="E35" i="80"/>
  <c r="F35" i="80"/>
  <c r="G35" i="80"/>
  <c r="H35" i="80"/>
  <c r="I35" i="80"/>
  <c r="AK35" i="80" s="1"/>
  <c r="J35" i="80"/>
  <c r="AJ35" i="80" s="1"/>
  <c r="K35" i="80"/>
  <c r="N35" i="80"/>
  <c r="O35" i="80"/>
  <c r="T35" i="80"/>
  <c r="U35" i="80"/>
  <c r="D36" i="80"/>
  <c r="E36" i="80"/>
  <c r="F36" i="80"/>
  <c r="G36" i="80"/>
  <c r="H36" i="80"/>
  <c r="I36" i="80"/>
  <c r="J36" i="80"/>
  <c r="K36" i="80"/>
  <c r="L36" i="80"/>
  <c r="M36" i="80"/>
  <c r="C6" i="80"/>
  <c r="AK6" i="80" s="1"/>
  <c r="D6" i="80"/>
  <c r="E6" i="80"/>
  <c r="F6" i="80"/>
  <c r="G6" i="80"/>
  <c r="H6" i="80"/>
  <c r="I6" i="80"/>
  <c r="Z6" i="80"/>
  <c r="AA6" i="80"/>
  <c r="AB6" i="80"/>
  <c r="AC6" i="80"/>
  <c r="AD6" i="80"/>
  <c r="AE6" i="80"/>
  <c r="AK32" i="80"/>
  <c r="AJ32" i="80"/>
  <c r="AK17" i="80"/>
  <c r="AJ17" i="80"/>
  <c r="C34" i="79"/>
  <c r="K34" i="79" s="1"/>
  <c r="D34" i="79"/>
  <c r="J34" i="79" s="1"/>
  <c r="E34" i="79"/>
  <c r="F34" i="79"/>
  <c r="G34" i="79"/>
  <c r="C35" i="79"/>
  <c r="K35" i="79" s="1"/>
  <c r="H36" i="79"/>
  <c r="J36" i="79"/>
  <c r="I36" i="79"/>
  <c r="K36" i="79" s="1"/>
  <c r="D37" i="79"/>
  <c r="J37" i="79"/>
  <c r="E37" i="79"/>
  <c r="K37" i="79" s="1"/>
  <c r="H37" i="79"/>
  <c r="I37" i="79"/>
  <c r="C32" i="79"/>
  <c r="K32" i="79" s="1"/>
  <c r="D32" i="79"/>
  <c r="E32" i="79"/>
  <c r="F32" i="79"/>
  <c r="G32" i="79"/>
  <c r="H32" i="79"/>
  <c r="I32" i="79"/>
  <c r="C4" i="79"/>
  <c r="K4" i="79" s="1"/>
  <c r="F4" i="79"/>
  <c r="G4" i="79"/>
  <c r="H5" i="79"/>
  <c r="J5" i="79" s="1"/>
  <c r="I5" i="79"/>
  <c r="K5" i="79" s="1"/>
  <c r="C6" i="79"/>
  <c r="D6" i="79"/>
  <c r="J6" i="79" s="1"/>
  <c r="E6" i="79"/>
  <c r="F6" i="79"/>
  <c r="G6" i="79"/>
  <c r="C7" i="79"/>
  <c r="K7" i="79" s="1"/>
  <c r="C8" i="79"/>
  <c r="K8" i="79" s="1"/>
  <c r="F8" i="79"/>
  <c r="G8" i="79"/>
  <c r="C13" i="79"/>
  <c r="K13" i="79"/>
  <c r="H14" i="79"/>
  <c r="J14" i="79"/>
  <c r="I14" i="79"/>
  <c r="K14" i="79"/>
  <c r="C15" i="79"/>
  <c r="K15" i="79" s="1"/>
  <c r="D15" i="79"/>
  <c r="E15" i="79"/>
  <c r="F15" i="79"/>
  <c r="G15" i="79"/>
  <c r="H15" i="79"/>
  <c r="I15" i="79"/>
  <c r="H16" i="79"/>
  <c r="J16" i="79"/>
  <c r="I16" i="79"/>
  <c r="K16" i="79" s="1"/>
  <c r="C17" i="79"/>
  <c r="K17" i="79"/>
  <c r="C18" i="79"/>
  <c r="K18" i="79"/>
  <c r="D18" i="79"/>
  <c r="E18" i="79"/>
  <c r="F18" i="79"/>
  <c r="J18" i="79" s="1"/>
  <c r="G18" i="79"/>
  <c r="H18" i="79"/>
  <c r="I18" i="79"/>
  <c r="C21" i="79"/>
  <c r="K21" i="79" s="1"/>
  <c r="D21" i="79"/>
  <c r="E21" i="79"/>
  <c r="F21" i="79"/>
  <c r="G21" i="79"/>
  <c r="C22" i="79"/>
  <c r="D22" i="79"/>
  <c r="E22" i="79"/>
  <c r="K22" i="79" s="1"/>
  <c r="F22" i="79"/>
  <c r="G22" i="79"/>
  <c r="C23" i="79"/>
  <c r="K23" i="79" s="1"/>
  <c r="D23" i="79"/>
  <c r="E23" i="79"/>
  <c r="C24" i="79"/>
  <c r="D24" i="79"/>
  <c r="E24" i="79"/>
  <c r="H24" i="79"/>
  <c r="J24" i="79"/>
  <c r="I24" i="79"/>
  <c r="C25" i="79"/>
  <c r="K25" i="79" s="1"/>
  <c r="D25" i="79"/>
  <c r="E25" i="79"/>
  <c r="F25" i="79"/>
  <c r="G25" i="79"/>
  <c r="H25" i="79"/>
  <c r="J25" i="79" s="1"/>
  <c r="I25" i="79"/>
  <c r="C26" i="79"/>
  <c r="D26" i="79"/>
  <c r="J26" i="79" s="1"/>
  <c r="E26" i="79"/>
  <c r="F26" i="79"/>
  <c r="G26" i="79"/>
  <c r="K26" i="79" s="1"/>
  <c r="H27" i="79"/>
  <c r="I27" i="79"/>
  <c r="C28" i="79"/>
  <c r="K28" i="79"/>
  <c r="C29" i="79"/>
  <c r="D29" i="79"/>
  <c r="J29" i="79"/>
  <c r="E29" i="79"/>
  <c r="K29" i="79" s="1"/>
  <c r="F29" i="79"/>
  <c r="G29" i="79"/>
  <c r="C30" i="79"/>
  <c r="D30" i="79"/>
  <c r="E30" i="79"/>
  <c r="F30" i="79"/>
  <c r="G30" i="79"/>
  <c r="H30" i="79"/>
  <c r="I30" i="79"/>
  <c r="D31" i="79"/>
  <c r="J31" i="79" s="1"/>
  <c r="E31" i="79"/>
  <c r="C3" i="79"/>
  <c r="D3" i="79"/>
  <c r="E3" i="79"/>
  <c r="F3" i="79"/>
  <c r="G3" i="79"/>
  <c r="B3" i="79"/>
  <c r="J3" i="79" s="1"/>
  <c r="J35" i="79"/>
  <c r="K33" i="79"/>
  <c r="J33" i="79"/>
  <c r="K31" i="79"/>
  <c r="J28" i="79"/>
  <c r="K27" i="79"/>
  <c r="J27" i="79"/>
  <c r="J23" i="79"/>
  <c r="K20" i="79"/>
  <c r="J20" i="79"/>
  <c r="K19" i="79"/>
  <c r="J19" i="79"/>
  <c r="J13" i="79"/>
  <c r="K12" i="79"/>
  <c r="J12" i="79"/>
  <c r="K11" i="79"/>
  <c r="J11" i="79"/>
  <c r="K10" i="79"/>
  <c r="J10" i="79"/>
  <c r="K9" i="79"/>
  <c r="J9" i="79"/>
  <c r="J7" i="79"/>
  <c r="K6" i="79"/>
  <c r="J32" i="79"/>
  <c r="AK22" i="80"/>
  <c r="K3" i="79"/>
  <c r="BC20" i="76"/>
  <c r="K24" i="79"/>
  <c r="AY5" i="77"/>
  <c r="AY6" i="77"/>
  <c r="AY9" i="77"/>
  <c r="AY10" i="77"/>
  <c r="BA10" i="77" s="1"/>
  <c r="AY12" i="77"/>
  <c r="AY13" i="77"/>
  <c r="BA13" i="77"/>
  <c r="AY14" i="77"/>
  <c r="AY17" i="77"/>
  <c r="AY20" i="77"/>
  <c r="AY21" i="77"/>
  <c r="AY22" i="77"/>
  <c r="AY23" i="77"/>
  <c r="AY31" i="77"/>
  <c r="Z36" i="77"/>
  <c r="AA36" i="77"/>
  <c r="AB36" i="77"/>
  <c r="AC36" i="77"/>
  <c r="AF36" i="77"/>
  <c r="AG36" i="77"/>
  <c r="AH36" i="77"/>
  <c r="AI36" i="77"/>
  <c r="AJ36" i="77"/>
  <c r="AK36" i="77"/>
  <c r="AR36" i="77"/>
  <c r="AS36" i="77"/>
  <c r="Z37" i="77"/>
  <c r="AA37" i="77"/>
  <c r="AB37" i="77"/>
  <c r="AC37" i="77"/>
  <c r="AF37" i="77"/>
  <c r="AG37" i="77"/>
  <c r="AH37" i="77"/>
  <c r="AI37" i="77"/>
  <c r="AJ37" i="77"/>
  <c r="AK37" i="77"/>
  <c r="AN37" i="77"/>
  <c r="AO37" i="77"/>
  <c r="AR37" i="77"/>
  <c r="AS37" i="77"/>
  <c r="AT37" i="77"/>
  <c r="AU37" i="77"/>
  <c r="Y35" i="77"/>
  <c r="Z35" i="77"/>
  <c r="AA35" i="77"/>
  <c r="AB35" i="77"/>
  <c r="AC35" i="77"/>
  <c r="AD35" i="77"/>
  <c r="AE35" i="77"/>
  <c r="AF35" i="77"/>
  <c r="AG35" i="77"/>
  <c r="AH35" i="77"/>
  <c r="AI35" i="77"/>
  <c r="AJ35" i="77"/>
  <c r="AK35" i="77"/>
  <c r="AL35" i="77"/>
  <c r="AM35" i="77"/>
  <c r="AN35" i="77"/>
  <c r="AO35" i="77"/>
  <c r="AR35" i="77"/>
  <c r="AS35" i="77"/>
  <c r="AT35" i="77"/>
  <c r="AU35" i="77"/>
  <c r="X35" i="77"/>
  <c r="X5" i="77"/>
  <c r="Y5" i="77"/>
  <c r="Z5" i="77"/>
  <c r="AA5" i="77"/>
  <c r="AB5" i="77"/>
  <c r="AC5" i="77"/>
  <c r="AF5" i="77"/>
  <c r="AG5" i="77"/>
  <c r="AH5" i="77"/>
  <c r="AI5" i="77"/>
  <c r="AJ5" i="77"/>
  <c r="AK5" i="77"/>
  <c r="AN5" i="77"/>
  <c r="AO5" i="77"/>
  <c r="AP5" i="77"/>
  <c r="AQ5" i="77"/>
  <c r="AR5" i="77"/>
  <c r="AS5" i="77"/>
  <c r="AT5" i="77"/>
  <c r="AU5" i="77"/>
  <c r="AR6" i="77"/>
  <c r="AS6" i="77"/>
  <c r="Z7" i="77"/>
  <c r="AA7" i="77"/>
  <c r="AB7" i="77"/>
  <c r="AC7" i="77"/>
  <c r="AF7" i="77"/>
  <c r="AG7" i="77"/>
  <c r="AH7" i="77"/>
  <c r="AI7" i="77"/>
  <c r="AJ7" i="77"/>
  <c r="AK7" i="77"/>
  <c r="AN7" i="77"/>
  <c r="AO7" i="77"/>
  <c r="AP7" i="77"/>
  <c r="AQ7" i="77"/>
  <c r="AR7" i="77"/>
  <c r="AS7" i="77"/>
  <c r="X8" i="77"/>
  <c r="Y8" i="77"/>
  <c r="Z8" i="77"/>
  <c r="AA8" i="77"/>
  <c r="AB8" i="77"/>
  <c r="AC8" i="77"/>
  <c r="AD8" i="77"/>
  <c r="AE8" i="77"/>
  <c r="AF8" i="77"/>
  <c r="AG8" i="77"/>
  <c r="AH8" i="77"/>
  <c r="AI8" i="77"/>
  <c r="AJ8" i="77"/>
  <c r="AK8" i="77"/>
  <c r="AL8" i="77"/>
  <c r="AM8" i="77"/>
  <c r="AN8" i="77"/>
  <c r="AO8" i="77"/>
  <c r="AR8" i="77"/>
  <c r="AS8" i="77"/>
  <c r="AT8" i="77"/>
  <c r="AU8" i="77"/>
  <c r="X9" i="77"/>
  <c r="Y9" i="77"/>
  <c r="Z9" i="77"/>
  <c r="AA9" i="77"/>
  <c r="AB9" i="77"/>
  <c r="AC9" i="77"/>
  <c r="AD9" i="77"/>
  <c r="AE9" i="77"/>
  <c r="AH9" i="77"/>
  <c r="AI9" i="77"/>
  <c r="AJ9" i="77"/>
  <c r="AK9" i="77"/>
  <c r="AN9" i="77"/>
  <c r="AO9" i="77"/>
  <c r="AR9" i="77"/>
  <c r="AS9" i="77"/>
  <c r="AT9" i="77"/>
  <c r="AU9" i="77"/>
  <c r="AR10" i="77"/>
  <c r="AS10" i="77"/>
  <c r="Z12" i="77"/>
  <c r="AA12" i="77"/>
  <c r="AB12" i="77"/>
  <c r="AC12" i="77"/>
  <c r="AF12" i="77"/>
  <c r="AG12" i="77"/>
  <c r="AH12" i="77"/>
  <c r="AI12" i="77"/>
  <c r="AJ12" i="77"/>
  <c r="AK12" i="77"/>
  <c r="AR12" i="77"/>
  <c r="AS12" i="77"/>
  <c r="Z14" i="77"/>
  <c r="AA14" i="77"/>
  <c r="AB14" i="77"/>
  <c r="AC14" i="77"/>
  <c r="AH14" i="77"/>
  <c r="AI14" i="77"/>
  <c r="AR14" i="77"/>
  <c r="AS14" i="77"/>
  <c r="Z15" i="77"/>
  <c r="AA15" i="77"/>
  <c r="AB15" i="77"/>
  <c r="AC15" i="77"/>
  <c r="AF15" i="77"/>
  <c r="AG15" i="77"/>
  <c r="AH15" i="77"/>
  <c r="AI15" i="77"/>
  <c r="AJ15" i="77"/>
  <c r="AK15" i="77"/>
  <c r="AR15" i="77"/>
  <c r="AS15" i="77"/>
  <c r="Z16" i="77"/>
  <c r="AA16" i="77"/>
  <c r="AB16" i="77"/>
  <c r="AC16" i="77"/>
  <c r="AF16" i="77"/>
  <c r="AG16" i="77"/>
  <c r="AH16" i="77"/>
  <c r="AI16" i="77"/>
  <c r="AJ16" i="77"/>
  <c r="AK16" i="77"/>
  <c r="AR16" i="77"/>
  <c r="AS16" i="77"/>
  <c r="X17" i="77"/>
  <c r="Y17" i="77"/>
  <c r="Z17" i="77"/>
  <c r="AA17" i="77"/>
  <c r="AB17" i="77"/>
  <c r="AC17" i="77"/>
  <c r="AF17" i="77"/>
  <c r="AG17" i="77"/>
  <c r="AH17" i="77"/>
  <c r="AI17" i="77"/>
  <c r="AJ17" i="77"/>
  <c r="AK17" i="77"/>
  <c r="AL17" i="77"/>
  <c r="AM17" i="77"/>
  <c r="AR17" i="77"/>
  <c r="AS17" i="77"/>
  <c r="AT17" i="77"/>
  <c r="AU17" i="77"/>
  <c r="Z18" i="77"/>
  <c r="AA18" i="77"/>
  <c r="AB18" i="77"/>
  <c r="AC18" i="77"/>
  <c r="BA18" i="77" s="1"/>
  <c r="AF18" i="77"/>
  <c r="AG18" i="77"/>
  <c r="AH18" i="77"/>
  <c r="AI18" i="77"/>
  <c r="AJ18" i="77"/>
  <c r="AK18" i="77"/>
  <c r="AL18" i="77"/>
  <c r="AM18" i="77"/>
  <c r="AR18" i="77"/>
  <c r="AS18" i="77"/>
  <c r="X19" i="77"/>
  <c r="Y19" i="77"/>
  <c r="Z19" i="77"/>
  <c r="AA19" i="77"/>
  <c r="AB19" i="77"/>
  <c r="AC19" i="77"/>
  <c r="AF19" i="77"/>
  <c r="AG19" i="77"/>
  <c r="AH19" i="77"/>
  <c r="AI19" i="77"/>
  <c r="AJ19" i="77"/>
  <c r="AK19" i="77"/>
  <c r="AL19" i="77"/>
  <c r="AM19" i="77"/>
  <c r="AN19" i="77"/>
  <c r="AO19" i="77"/>
  <c r="AP19" i="77"/>
  <c r="AQ19" i="77"/>
  <c r="AR19" i="77"/>
  <c r="AS19" i="77"/>
  <c r="AT19" i="77"/>
  <c r="AU19" i="77"/>
  <c r="AH20" i="77"/>
  <c r="AI20" i="77"/>
  <c r="AN20" i="77"/>
  <c r="AO20" i="77"/>
  <c r="AP20" i="77"/>
  <c r="AQ20" i="77"/>
  <c r="BA20" i="77" s="1"/>
  <c r="AF21" i="77"/>
  <c r="AG21" i="77"/>
  <c r="AL21" i="77"/>
  <c r="AM21" i="77"/>
  <c r="AN21" i="77"/>
  <c r="AO21" i="77"/>
  <c r="AP21" i="77"/>
  <c r="AQ21" i="77"/>
  <c r="AR21" i="77"/>
  <c r="AS21" i="77"/>
  <c r="AT21" i="77"/>
  <c r="AU21" i="77"/>
  <c r="X22" i="77"/>
  <c r="Y22" i="77"/>
  <c r="Z22" i="77"/>
  <c r="AA22" i="77"/>
  <c r="AB22" i="77"/>
  <c r="AC22" i="77"/>
  <c r="AD22" i="77"/>
  <c r="AE22" i="77"/>
  <c r="AF22" i="77"/>
  <c r="AG22" i="77"/>
  <c r="AH22" i="77"/>
  <c r="AI22" i="77"/>
  <c r="AJ22" i="77"/>
  <c r="AK22" i="77"/>
  <c r="AN22" i="77"/>
  <c r="AO22" i="77"/>
  <c r="AR22" i="77"/>
  <c r="AS22" i="77"/>
  <c r="AT22" i="77"/>
  <c r="AU22" i="77"/>
  <c r="Z23" i="77"/>
  <c r="AA23" i="77"/>
  <c r="AB23" i="77"/>
  <c r="AC23" i="77"/>
  <c r="AF23" i="77"/>
  <c r="AG23" i="77"/>
  <c r="AH23" i="77"/>
  <c r="AI23" i="77"/>
  <c r="AR23" i="77"/>
  <c r="AS23" i="77"/>
  <c r="Z24" i="77"/>
  <c r="AA24" i="77"/>
  <c r="AB24" i="77"/>
  <c r="AC24" i="77"/>
  <c r="AF24" i="77"/>
  <c r="AG24" i="77"/>
  <c r="AR24" i="77"/>
  <c r="AS24" i="77"/>
  <c r="AT24" i="77"/>
  <c r="AU24" i="77"/>
  <c r="AB25" i="77"/>
  <c r="AC25" i="77"/>
  <c r="AF25" i="77"/>
  <c r="AG25" i="77"/>
  <c r="AH25" i="77"/>
  <c r="AI25" i="77"/>
  <c r="AJ25" i="77"/>
  <c r="AK25" i="77"/>
  <c r="AL25" i="77"/>
  <c r="AM25" i="77"/>
  <c r="AN25" i="77"/>
  <c r="AO25" i="77"/>
  <c r="AP25" i="77"/>
  <c r="AQ25" i="77"/>
  <c r="AR25" i="77"/>
  <c r="AS25" i="77"/>
  <c r="X26" i="77"/>
  <c r="Y26" i="77"/>
  <c r="Z26" i="77"/>
  <c r="AA26" i="77"/>
  <c r="AB26" i="77"/>
  <c r="AC26" i="77"/>
  <c r="AF26" i="77"/>
  <c r="AG26" i="77"/>
  <c r="AH26" i="77"/>
  <c r="AI26" i="77"/>
  <c r="AJ26" i="77"/>
  <c r="AK26" i="77"/>
  <c r="AL26" i="77"/>
  <c r="AM26" i="77"/>
  <c r="AN26" i="77"/>
  <c r="AO26" i="77"/>
  <c r="AP26" i="77"/>
  <c r="AQ26" i="77"/>
  <c r="AR26" i="77"/>
  <c r="AS26" i="77"/>
  <c r="AT26" i="77"/>
  <c r="AU26" i="77"/>
  <c r="Z27" i="77"/>
  <c r="AA27" i="77"/>
  <c r="AB27" i="77"/>
  <c r="AC27" i="77"/>
  <c r="AF27" i="77"/>
  <c r="AG27" i="77"/>
  <c r="AH27" i="77"/>
  <c r="AI27" i="77"/>
  <c r="AJ27" i="77"/>
  <c r="AK27" i="77"/>
  <c r="AL27" i="77"/>
  <c r="AM27" i="77"/>
  <c r="AN27" i="77"/>
  <c r="AO27" i="77"/>
  <c r="AP27" i="77"/>
  <c r="AQ27" i="77"/>
  <c r="AR27" i="77"/>
  <c r="AS27" i="77"/>
  <c r="AT27" i="77"/>
  <c r="AU27" i="77"/>
  <c r="X28" i="77"/>
  <c r="Y28" i="77"/>
  <c r="Z28" i="77"/>
  <c r="AA28" i="77"/>
  <c r="AB28" i="77"/>
  <c r="AC28" i="77"/>
  <c r="AD28" i="77"/>
  <c r="AE28" i="77"/>
  <c r="AF28" i="77"/>
  <c r="AG28" i="77"/>
  <c r="AH28" i="77"/>
  <c r="AI28" i="77"/>
  <c r="AJ28" i="77"/>
  <c r="AK28" i="77"/>
  <c r="AN28" i="77"/>
  <c r="AO28" i="77"/>
  <c r="AP28" i="77"/>
  <c r="AQ28" i="77"/>
  <c r="AR28" i="77"/>
  <c r="AS28" i="77"/>
  <c r="AT28" i="77"/>
  <c r="AU28" i="77"/>
  <c r="X29" i="77"/>
  <c r="Y29" i="77"/>
  <c r="Z29" i="77"/>
  <c r="AA29" i="77"/>
  <c r="AB29" i="77"/>
  <c r="AC29" i="77"/>
  <c r="AJ29" i="77"/>
  <c r="AK29" i="77"/>
  <c r="AN29" i="77"/>
  <c r="AO29" i="77"/>
  <c r="AP29" i="77"/>
  <c r="AQ29" i="77"/>
  <c r="AR29" i="77"/>
  <c r="AS29" i="77"/>
  <c r="AT29" i="77"/>
  <c r="AU29" i="77"/>
  <c r="X30" i="77"/>
  <c r="Y30" i="77"/>
  <c r="Z30" i="77"/>
  <c r="AA30" i="77"/>
  <c r="AB30" i="77"/>
  <c r="AC30" i="77"/>
  <c r="AF30" i="77"/>
  <c r="AG30" i="77"/>
  <c r="AH30" i="77"/>
  <c r="AI30" i="77"/>
  <c r="AJ30" i="77"/>
  <c r="AK30" i="77"/>
  <c r="AL30" i="77"/>
  <c r="AM30" i="77"/>
  <c r="AP30" i="77"/>
  <c r="AQ30" i="77"/>
  <c r="AR30" i="77"/>
  <c r="AS30" i="77"/>
  <c r="AT30" i="77"/>
  <c r="AU30" i="77"/>
  <c r="X31" i="77"/>
  <c r="Y31" i="77"/>
  <c r="Z31" i="77"/>
  <c r="AA31" i="77"/>
  <c r="AB31" i="77"/>
  <c r="AC31" i="77"/>
  <c r="AF31" i="77"/>
  <c r="AG31" i="77"/>
  <c r="AH31" i="77"/>
  <c r="AI31" i="77"/>
  <c r="AJ31" i="77"/>
  <c r="AK31" i="77"/>
  <c r="AL31" i="77"/>
  <c r="AM31" i="77"/>
  <c r="AN31" i="77"/>
  <c r="AO31" i="77"/>
  <c r="AR31" i="77"/>
  <c r="AS31" i="77"/>
  <c r="AT31" i="77"/>
  <c r="AU31" i="77"/>
  <c r="Z32" i="77"/>
  <c r="AA32" i="77"/>
  <c r="AB32" i="77"/>
  <c r="AC32" i="77"/>
  <c r="AF32" i="77"/>
  <c r="AG32" i="77"/>
  <c r="AJ32" i="77"/>
  <c r="AK32" i="77"/>
  <c r="AR32" i="77"/>
  <c r="AS32" i="77"/>
  <c r="X33" i="77"/>
  <c r="Y33" i="77"/>
  <c r="Z33" i="77"/>
  <c r="AA33" i="77"/>
  <c r="AB33" i="77"/>
  <c r="AC33" i="77"/>
  <c r="AH33" i="77"/>
  <c r="AI33" i="77"/>
  <c r="AJ33" i="77"/>
  <c r="AK33" i="77"/>
  <c r="AL33" i="77"/>
  <c r="AM33" i="77"/>
  <c r="AN33" i="77"/>
  <c r="AO33" i="77"/>
  <c r="AP33" i="77"/>
  <c r="AQ33" i="77"/>
  <c r="AR33" i="77"/>
  <c r="AS33" i="77"/>
  <c r="AT33" i="77"/>
  <c r="AU33" i="77"/>
  <c r="Y4" i="77"/>
  <c r="Z4" i="77"/>
  <c r="AA4" i="77"/>
  <c r="AJ4" i="77"/>
  <c r="AK4" i="77"/>
  <c r="AL4" i="77"/>
  <c r="AM4" i="77"/>
  <c r="AN4" i="77"/>
  <c r="AO4" i="77"/>
  <c r="AP4" i="77"/>
  <c r="AQ4" i="77"/>
  <c r="AR4" i="77"/>
  <c r="AS4" i="77"/>
  <c r="AT4" i="77"/>
  <c r="AU4" i="77"/>
  <c r="X4" i="77"/>
  <c r="D35" i="77"/>
  <c r="E35" i="77"/>
  <c r="F35" i="77"/>
  <c r="G35" i="77"/>
  <c r="H35" i="77"/>
  <c r="I35" i="77"/>
  <c r="J35" i="77"/>
  <c r="K35" i="77"/>
  <c r="N35" i="77"/>
  <c r="O35" i="77"/>
  <c r="P35" i="77"/>
  <c r="Q35" i="77"/>
  <c r="H36" i="77"/>
  <c r="I36" i="77"/>
  <c r="J36" i="77"/>
  <c r="K36" i="77"/>
  <c r="L36" i="77"/>
  <c r="M36" i="77"/>
  <c r="P36" i="77"/>
  <c r="Q36" i="77"/>
  <c r="BA36" i="77" s="1"/>
  <c r="H37" i="77"/>
  <c r="I37" i="77"/>
  <c r="BA37" i="77" s="1"/>
  <c r="J37" i="77"/>
  <c r="K37" i="77"/>
  <c r="P37" i="77"/>
  <c r="Q37" i="77"/>
  <c r="D19" i="77"/>
  <c r="E19" i="77"/>
  <c r="F19" i="77"/>
  <c r="G19" i="77"/>
  <c r="H19" i="77"/>
  <c r="I19" i="77"/>
  <c r="J19" i="77"/>
  <c r="K19" i="77"/>
  <c r="L19" i="77"/>
  <c r="M19" i="77"/>
  <c r="N19" i="77"/>
  <c r="O19" i="77"/>
  <c r="P19" i="77"/>
  <c r="Q19" i="77"/>
  <c r="R19" i="77"/>
  <c r="S19" i="77"/>
  <c r="D21" i="77"/>
  <c r="E21" i="77"/>
  <c r="F21" i="77"/>
  <c r="G21" i="77"/>
  <c r="H21" i="77"/>
  <c r="I21" i="77"/>
  <c r="L21" i="77"/>
  <c r="M21" i="77"/>
  <c r="R21" i="77"/>
  <c r="S21" i="77"/>
  <c r="D22" i="77"/>
  <c r="E22" i="77"/>
  <c r="F22" i="77"/>
  <c r="G22" i="77"/>
  <c r="H22" i="77"/>
  <c r="I22" i="77"/>
  <c r="J22" i="77"/>
  <c r="K22" i="77"/>
  <c r="N22" i="77"/>
  <c r="O22" i="77"/>
  <c r="P22" i="77"/>
  <c r="Q22" i="77"/>
  <c r="R22" i="77"/>
  <c r="S22" i="77"/>
  <c r="H23" i="77"/>
  <c r="I23" i="77"/>
  <c r="J23" i="77"/>
  <c r="K23" i="77"/>
  <c r="P23" i="77"/>
  <c r="AZ23" i="77" s="1"/>
  <c r="Q23" i="77"/>
  <c r="J24" i="77"/>
  <c r="K24" i="77"/>
  <c r="P24" i="77"/>
  <c r="Q24" i="77"/>
  <c r="R24" i="77"/>
  <c r="S24" i="77"/>
  <c r="D25" i="77"/>
  <c r="E25" i="77"/>
  <c r="F25" i="77"/>
  <c r="G25" i="77"/>
  <c r="H25" i="77"/>
  <c r="I25" i="77"/>
  <c r="J25" i="77"/>
  <c r="K25" i="77"/>
  <c r="L25" i="77"/>
  <c r="M25" i="77"/>
  <c r="N25" i="77"/>
  <c r="O25" i="77"/>
  <c r="P25" i="77"/>
  <c r="Q25" i="77"/>
  <c r="R25" i="77"/>
  <c r="S25" i="77"/>
  <c r="D26" i="77"/>
  <c r="E26" i="77"/>
  <c r="F26" i="77"/>
  <c r="G26" i="77"/>
  <c r="H26" i="77"/>
  <c r="I26" i="77"/>
  <c r="J26" i="77"/>
  <c r="K26" i="77"/>
  <c r="L26" i="77"/>
  <c r="M26" i="77"/>
  <c r="N26" i="77"/>
  <c r="O26" i="77"/>
  <c r="P26" i="77"/>
  <c r="Q26" i="77"/>
  <c r="R26" i="77"/>
  <c r="S26" i="77"/>
  <c r="D27" i="77"/>
  <c r="E27" i="77"/>
  <c r="F27" i="77"/>
  <c r="G27" i="77"/>
  <c r="H27" i="77"/>
  <c r="I27" i="77"/>
  <c r="J27" i="77"/>
  <c r="K27" i="77"/>
  <c r="N27" i="77"/>
  <c r="O27" i="77"/>
  <c r="P27" i="77"/>
  <c r="Q27" i="77"/>
  <c r="R27" i="77"/>
  <c r="S27" i="77"/>
  <c r="D28" i="77"/>
  <c r="E28" i="77"/>
  <c r="F28" i="77"/>
  <c r="G28" i="77"/>
  <c r="H28" i="77"/>
  <c r="I28" i="77"/>
  <c r="J28" i="77"/>
  <c r="K28" i="77"/>
  <c r="L28" i="77"/>
  <c r="M28" i="77"/>
  <c r="N28" i="77"/>
  <c r="O28" i="77"/>
  <c r="P28" i="77"/>
  <c r="Q28" i="77"/>
  <c r="R28" i="77"/>
  <c r="S28" i="77"/>
  <c r="D29" i="77"/>
  <c r="E29" i="77"/>
  <c r="F29" i="77"/>
  <c r="G29" i="77"/>
  <c r="H29" i="77"/>
  <c r="I29" i="77"/>
  <c r="D30" i="77"/>
  <c r="E30" i="77"/>
  <c r="F30" i="77"/>
  <c r="G30" i="77"/>
  <c r="H30" i="77"/>
  <c r="I30" i="77"/>
  <c r="J30" i="77"/>
  <c r="K30" i="77"/>
  <c r="L30" i="77"/>
  <c r="M30" i="77"/>
  <c r="N30" i="77"/>
  <c r="O30" i="77"/>
  <c r="P30" i="77"/>
  <c r="Q30" i="77"/>
  <c r="R30" i="77"/>
  <c r="S30" i="77"/>
  <c r="D31" i="77"/>
  <c r="E31" i="77"/>
  <c r="F31" i="77"/>
  <c r="G31" i="77"/>
  <c r="H31" i="77"/>
  <c r="AZ31" i="77" s="1"/>
  <c r="I31" i="77"/>
  <c r="BA31" i="77" s="1"/>
  <c r="J31" i="77"/>
  <c r="K31" i="77"/>
  <c r="N31" i="77"/>
  <c r="O31" i="77"/>
  <c r="P31" i="77"/>
  <c r="Q31" i="77"/>
  <c r="R31" i="77"/>
  <c r="S31" i="77"/>
  <c r="D32" i="77"/>
  <c r="E32" i="77"/>
  <c r="F32" i="77"/>
  <c r="G32" i="77"/>
  <c r="H32" i="77"/>
  <c r="I32" i="77"/>
  <c r="J32" i="77"/>
  <c r="AZ32" i="77" s="1"/>
  <c r="K32" i="77"/>
  <c r="L32" i="77"/>
  <c r="M32" i="77"/>
  <c r="N32" i="77"/>
  <c r="O32" i="77"/>
  <c r="P32" i="77"/>
  <c r="Q32" i="77"/>
  <c r="R32" i="77"/>
  <c r="S32" i="77"/>
  <c r="D33" i="77"/>
  <c r="E33" i="77"/>
  <c r="F33" i="77"/>
  <c r="G33" i="77"/>
  <c r="H33" i="77"/>
  <c r="I33" i="77"/>
  <c r="J33" i="77"/>
  <c r="K33" i="77"/>
  <c r="N33" i="77"/>
  <c r="O33" i="77"/>
  <c r="P33" i="77"/>
  <c r="Q33" i="77"/>
  <c r="R33" i="77"/>
  <c r="S33" i="77"/>
  <c r="D5" i="77"/>
  <c r="AZ5" i="77" s="1"/>
  <c r="E5" i="77"/>
  <c r="F5" i="77"/>
  <c r="G5" i="77"/>
  <c r="H5" i="77"/>
  <c r="I5" i="77"/>
  <c r="J5" i="77"/>
  <c r="K5" i="77"/>
  <c r="N5" i="77"/>
  <c r="O5" i="77"/>
  <c r="P5" i="77"/>
  <c r="Q5" i="77"/>
  <c r="R5" i="77"/>
  <c r="S5" i="77"/>
  <c r="J6" i="77"/>
  <c r="K6" i="77"/>
  <c r="P6" i="77"/>
  <c r="Q6" i="77"/>
  <c r="D7" i="77"/>
  <c r="E7" i="77"/>
  <c r="H7" i="77"/>
  <c r="I7" i="77"/>
  <c r="J7" i="77"/>
  <c r="K7" i="77"/>
  <c r="N7" i="77"/>
  <c r="O7" i="77"/>
  <c r="P7" i="77"/>
  <c r="Q7" i="77"/>
  <c r="R7" i="77"/>
  <c r="S7" i="77"/>
  <c r="D8" i="77"/>
  <c r="E8" i="77"/>
  <c r="F8" i="77"/>
  <c r="G8" i="77"/>
  <c r="H8" i="77"/>
  <c r="I8" i="77"/>
  <c r="J8" i="77"/>
  <c r="K8" i="77"/>
  <c r="N8" i="77"/>
  <c r="O8" i="77"/>
  <c r="P8" i="77"/>
  <c r="Q8" i="77"/>
  <c r="R8" i="77"/>
  <c r="S8" i="77"/>
  <c r="D9" i="77"/>
  <c r="AZ9" i="77" s="1"/>
  <c r="E9" i="77"/>
  <c r="F9" i="77"/>
  <c r="G9" i="77"/>
  <c r="H9" i="77"/>
  <c r="I9" i="77"/>
  <c r="J9" i="77"/>
  <c r="K9" i="77"/>
  <c r="BA9" i="77" s="1"/>
  <c r="N9" i="77"/>
  <c r="O9" i="77"/>
  <c r="P9" i="77"/>
  <c r="Q9" i="77"/>
  <c r="H10" i="77"/>
  <c r="I10" i="77"/>
  <c r="D12" i="77"/>
  <c r="E12" i="77"/>
  <c r="F12" i="77"/>
  <c r="G12" i="77"/>
  <c r="H12" i="77"/>
  <c r="I12" i="77"/>
  <c r="N12" i="77"/>
  <c r="O12" i="77"/>
  <c r="P12" i="77"/>
  <c r="Q12" i="77"/>
  <c r="R12" i="77"/>
  <c r="S12" i="77"/>
  <c r="H14" i="77"/>
  <c r="AZ14" i="77" s="1"/>
  <c r="I14" i="77"/>
  <c r="J14" i="77"/>
  <c r="K14" i="77"/>
  <c r="P14" i="77"/>
  <c r="Q14" i="77"/>
  <c r="H15" i="77"/>
  <c r="I15" i="77"/>
  <c r="J15" i="77"/>
  <c r="K15" i="77"/>
  <c r="N15" i="77"/>
  <c r="O15" i="77"/>
  <c r="P15" i="77"/>
  <c r="Q15" i="77"/>
  <c r="H16" i="77"/>
  <c r="I16" i="77"/>
  <c r="J16" i="77"/>
  <c r="K16" i="77"/>
  <c r="L16" i="77"/>
  <c r="M16" i="77"/>
  <c r="N16" i="77"/>
  <c r="O16" i="77"/>
  <c r="P16" i="77"/>
  <c r="Q16" i="77"/>
  <c r="D17" i="77"/>
  <c r="AZ17" i="77" s="1"/>
  <c r="E17" i="77"/>
  <c r="F17" i="77"/>
  <c r="G17" i="77"/>
  <c r="H17" i="77"/>
  <c r="I17" i="77"/>
  <c r="J17" i="77"/>
  <c r="K17" i="77"/>
  <c r="L17" i="77"/>
  <c r="M17" i="77"/>
  <c r="N17" i="77"/>
  <c r="O17" i="77"/>
  <c r="P17" i="77"/>
  <c r="Q17" i="77"/>
  <c r="R17" i="77"/>
  <c r="S17" i="77"/>
  <c r="D18" i="77"/>
  <c r="E18" i="77"/>
  <c r="F18" i="77"/>
  <c r="G18" i="77"/>
  <c r="H18" i="77"/>
  <c r="I18" i="77"/>
  <c r="J18" i="77"/>
  <c r="K18" i="77"/>
  <c r="L18" i="77"/>
  <c r="M18" i="77"/>
  <c r="N18" i="77"/>
  <c r="O18" i="77"/>
  <c r="P18" i="77"/>
  <c r="Q18" i="77"/>
  <c r="R18" i="77"/>
  <c r="S18" i="77"/>
  <c r="D4" i="77"/>
  <c r="E4" i="77"/>
  <c r="F4" i="77"/>
  <c r="G4" i="77"/>
  <c r="H4" i="77"/>
  <c r="I4" i="77"/>
  <c r="J4" i="77"/>
  <c r="K4" i="77"/>
  <c r="P4" i="77"/>
  <c r="Q4" i="77"/>
  <c r="R4" i="77"/>
  <c r="S4" i="77"/>
  <c r="BA34" i="77"/>
  <c r="AZ34" i="77"/>
  <c r="AZ10" i="77"/>
  <c r="AI35" i="74"/>
  <c r="AH35" i="74"/>
  <c r="AG35" i="74"/>
  <c r="AF35" i="74"/>
  <c r="AE35" i="74"/>
  <c r="AD35" i="74"/>
  <c r="AC35" i="74"/>
  <c r="AB35" i="74"/>
  <c r="AA35" i="74"/>
  <c r="Z35" i="74"/>
  <c r="Y35" i="74"/>
  <c r="X35" i="74"/>
  <c r="W35" i="74"/>
  <c r="V35" i="74"/>
  <c r="U35" i="74"/>
  <c r="T35" i="74"/>
  <c r="S35" i="74"/>
  <c r="R35" i="74"/>
  <c r="Q35" i="74"/>
  <c r="P35" i="74"/>
  <c r="O35" i="74"/>
  <c r="N35" i="74"/>
  <c r="M35" i="74"/>
  <c r="L35" i="74"/>
  <c r="K35" i="74"/>
  <c r="J35" i="74"/>
  <c r="I35" i="74"/>
  <c r="H35" i="74"/>
  <c r="G35" i="74"/>
  <c r="F35" i="74"/>
  <c r="E35" i="74"/>
  <c r="D35" i="74"/>
  <c r="C35" i="74"/>
  <c r="B35" i="74"/>
  <c r="AK33" i="74"/>
  <c r="AJ33" i="74"/>
  <c r="AK32" i="74"/>
  <c r="AJ32" i="74"/>
  <c r="AK31" i="74"/>
  <c r="AJ31" i="74"/>
  <c r="AK30" i="74"/>
  <c r="AJ30" i="74"/>
  <c r="AK28" i="74"/>
  <c r="AJ28" i="74"/>
  <c r="AK27" i="74"/>
  <c r="AJ27" i="74"/>
  <c r="AK26" i="74"/>
  <c r="AJ26" i="74"/>
  <c r="AK25" i="74"/>
  <c r="AJ25" i="74"/>
  <c r="AK24" i="74"/>
  <c r="AJ24" i="74"/>
  <c r="AK23" i="74"/>
  <c r="AJ23" i="74"/>
  <c r="AK22" i="74"/>
  <c r="AJ22" i="74"/>
  <c r="AK21" i="74"/>
  <c r="AJ21" i="74"/>
  <c r="AK20" i="74"/>
  <c r="AJ20" i="74"/>
  <c r="AK19" i="74"/>
  <c r="AJ19" i="74"/>
  <c r="AK18" i="74"/>
  <c r="AJ18" i="74"/>
  <c r="AK17" i="74"/>
  <c r="AJ17" i="74"/>
  <c r="AK16" i="74"/>
  <c r="AJ16" i="74"/>
  <c r="AK15" i="74"/>
  <c r="AJ15" i="74"/>
  <c r="AK14" i="74"/>
  <c r="AJ14" i="74"/>
  <c r="AK13" i="74"/>
  <c r="AJ13" i="74"/>
  <c r="AK12" i="74"/>
  <c r="AJ12" i="74"/>
  <c r="AK11" i="74"/>
  <c r="AJ11" i="74"/>
  <c r="AK10" i="74"/>
  <c r="AJ10" i="74"/>
  <c r="AK9" i="74"/>
  <c r="AJ9" i="74"/>
  <c r="AK8" i="74"/>
  <c r="AJ8" i="74"/>
  <c r="AK7" i="74"/>
  <c r="AJ7" i="74"/>
  <c r="AK6" i="74"/>
  <c r="AJ6" i="74"/>
  <c r="AK5" i="74"/>
  <c r="AJ5" i="74"/>
  <c r="AK4" i="74"/>
  <c r="AJ4" i="74"/>
  <c r="AJ35" i="74" s="1"/>
  <c r="AK3" i="74"/>
  <c r="AJ3" i="74"/>
  <c r="I39" i="73"/>
  <c r="H39" i="73"/>
  <c r="G39" i="73"/>
  <c r="F39" i="73"/>
  <c r="E39" i="73"/>
  <c r="D39" i="73"/>
  <c r="C39" i="73"/>
  <c r="B39" i="73"/>
  <c r="K37" i="73"/>
  <c r="J37" i="73"/>
  <c r="K36" i="73"/>
  <c r="J36" i="73"/>
  <c r="K35" i="73"/>
  <c r="J35" i="73"/>
  <c r="K34" i="73"/>
  <c r="J34" i="73"/>
  <c r="K32" i="73"/>
  <c r="J32" i="73"/>
  <c r="K31" i="73"/>
  <c r="J31" i="73"/>
  <c r="K30" i="73"/>
  <c r="J30" i="73"/>
  <c r="K29" i="73"/>
  <c r="J29" i="73"/>
  <c r="K28" i="73"/>
  <c r="J28" i="73"/>
  <c r="K27" i="73"/>
  <c r="J27" i="73"/>
  <c r="K26" i="73"/>
  <c r="J26" i="73"/>
  <c r="K25" i="73"/>
  <c r="J25" i="73"/>
  <c r="K24" i="73"/>
  <c r="J24" i="73"/>
  <c r="K23" i="73"/>
  <c r="J23" i="73"/>
  <c r="K22" i="73"/>
  <c r="J22" i="73"/>
  <c r="K21" i="73"/>
  <c r="J21" i="73"/>
  <c r="K20" i="73"/>
  <c r="J20" i="73"/>
  <c r="K19" i="73"/>
  <c r="J19" i="73"/>
  <c r="K18" i="73"/>
  <c r="J18" i="73"/>
  <c r="K17" i="73"/>
  <c r="J17" i="73"/>
  <c r="K16" i="73"/>
  <c r="J16" i="73"/>
  <c r="K15" i="73"/>
  <c r="J15" i="73"/>
  <c r="K14" i="73"/>
  <c r="J14" i="73"/>
  <c r="K13" i="73"/>
  <c r="J13" i="73"/>
  <c r="K12" i="73"/>
  <c r="J12" i="73"/>
  <c r="K11" i="73"/>
  <c r="J11" i="73"/>
  <c r="K10" i="73"/>
  <c r="J10" i="73"/>
  <c r="K9" i="73"/>
  <c r="J9" i="73"/>
  <c r="K8" i="73"/>
  <c r="J8" i="73"/>
  <c r="K7" i="73"/>
  <c r="J7" i="73"/>
  <c r="K6" i="73"/>
  <c r="J6" i="73"/>
  <c r="K5" i="73"/>
  <c r="J5" i="73"/>
  <c r="K4" i="73"/>
  <c r="K39" i="73" s="1"/>
  <c r="J4" i="73"/>
  <c r="K3" i="73"/>
  <c r="J3" i="73"/>
  <c r="J39" i="73"/>
  <c r="AQ39" i="72"/>
  <c r="AP39" i="72"/>
  <c r="AO39" i="72"/>
  <c r="AN39" i="72"/>
  <c r="AM39" i="72"/>
  <c r="AL39" i="72"/>
  <c r="AK39" i="72"/>
  <c r="AJ39" i="72"/>
  <c r="AI39" i="72"/>
  <c r="AH39" i="72"/>
  <c r="AG39" i="72"/>
  <c r="AF39" i="72"/>
  <c r="AC39" i="72"/>
  <c r="AB39" i="72"/>
  <c r="AA39" i="72"/>
  <c r="Z39" i="72"/>
  <c r="Y39" i="72"/>
  <c r="X39" i="72"/>
  <c r="W39" i="72"/>
  <c r="V39" i="72"/>
  <c r="U39" i="72"/>
  <c r="T39" i="72"/>
  <c r="S39" i="72"/>
  <c r="R39" i="72"/>
  <c r="Q39" i="72"/>
  <c r="P39" i="72"/>
  <c r="O39" i="72"/>
  <c r="N39" i="72"/>
  <c r="M39" i="72"/>
  <c r="L39" i="72"/>
  <c r="K39" i="72"/>
  <c r="J39" i="72"/>
  <c r="I39" i="72"/>
  <c r="H39" i="72"/>
  <c r="G39" i="72"/>
  <c r="F39" i="72"/>
  <c r="E39" i="72"/>
  <c r="D39" i="72"/>
  <c r="C39" i="72"/>
  <c r="B39" i="72"/>
  <c r="AS37" i="72"/>
  <c r="AU37" i="72"/>
  <c r="AR37" i="72"/>
  <c r="AT37" i="72"/>
  <c r="AS36" i="72"/>
  <c r="AU36" i="72"/>
  <c r="AR36" i="72"/>
  <c r="AU35" i="72"/>
  <c r="AT35" i="72"/>
  <c r="AU34" i="72"/>
  <c r="AT34" i="72"/>
  <c r="AS32" i="72"/>
  <c r="AR32" i="72"/>
  <c r="AS31" i="72"/>
  <c r="AR31" i="72"/>
  <c r="AE31" i="72"/>
  <c r="AE39" i="72"/>
  <c r="AD31" i="72"/>
  <c r="AD39" i="72"/>
  <c r="AU30" i="72"/>
  <c r="AT30" i="72"/>
  <c r="AS29" i="72"/>
  <c r="AU29" i="72"/>
  <c r="AR29" i="72"/>
  <c r="AT29" i="72"/>
  <c r="AS28" i="72"/>
  <c r="AU28" i="72"/>
  <c r="AR28" i="72"/>
  <c r="AT28" i="72"/>
  <c r="AT27" i="72"/>
  <c r="AS27" i="72"/>
  <c r="AS26" i="72"/>
  <c r="AU26" i="72"/>
  <c r="AR26" i="72"/>
  <c r="AT26" i="72" s="1"/>
  <c r="AS25" i="72"/>
  <c r="AU25" i="72"/>
  <c r="AR25" i="72"/>
  <c r="AU24" i="72"/>
  <c r="AT24" i="72"/>
  <c r="AS23" i="72"/>
  <c r="AU23" i="72"/>
  <c r="AR23" i="72"/>
  <c r="AT23" i="72" s="1"/>
  <c r="AU22" i="72"/>
  <c r="AT22" i="72"/>
  <c r="AU21" i="72"/>
  <c r="AT21" i="72"/>
  <c r="AU20" i="72"/>
  <c r="AT20" i="72"/>
  <c r="AU19" i="72"/>
  <c r="AT19" i="72"/>
  <c r="AS18" i="72"/>
  <c r="AU18" i="72"/>
  <c r="AR18" i="72"/>
  <c r="AT18" i="72" s="1"/>
  <c r="AS17" i="72"/>
  <c r="AU17" i="72"/>
  <c r="AR17" i="72"/>
  <c r="AT17" i="72" s="1"/>
  <c r="AU16" i="72"/>
  <c r="AT16" i="72"/>
  <c r="AU15" i="72"/>
  <c r="AT15" i="72"/>
  <c r="AS14" i="72"/>
  <c r="AU14" i="72"/>
  <c r="AR14" i="72"/>
  <c r="AT14" i="72"/>
  <c r="AU13" i="72"/>
  <c r="AT13" i="72"/>
  <c r="AU12" i="72"/>
  <c r="AT12" i="72"/>
  <c r="AU11" i="72"/>
  <c r="AT11" i="72"/>
  <c r="AU10" i="72"/>
  <c r="AT10" i="72"/>
  <c r="AU9" i="72"/>
  <c r="AT9" i="72"/>
  <c r="AU8" i="72"/>
  <c r="AT8" i="72"/>
  <c r="AS7" i="72"/>
  <c r="AU7" i="72"/>
  <c r="AR7" i="72"/>
  <c r="AU6" i="72"/>
  <c r="AT6" i="72"/>
  <c r="AU5" i="72"/>
  <c r="AT5" i="72"/>
  <c r="AU4" i="72"/>
  <c r="AT4" i="72"/>
  <c r="AS3" i="72"/>
  <c r="AU3" i="72"/>
  <c r="AR3" i="72"/>
  <c r="I39" i="71"/>
  <c r="H39" i="71"/>
  <c r="G39" i="71"/>
  <c r="G39" i="79"/>
  <c r="F39" i="71"/>
  <c r="F39" i="79"/>
  <c r="E39" i="71"/>
  <c r="E39" i="79"/>
  <c r="D39" i="71"/>
  <c r="D39" i="79"/>
  <c r="C39" i="71"/>
  <c r="B39" i="71"/>
  <c r="K37" i="71"/>
  <c r="J37" i="71"/>
  <c r="K36" i="71"/>
  <c r="J36" i="71"/>
  <c r="K35" i="71"/>
  <c r="J35" i="71"/>
  <c r="K34" i="71"/>
  <c r="J34" i="71"/>
  <c r="K32" i="71"/>
  <c r="J32" i="71"/>
  <c r="K31" i="71"/>
  <c r="J31" i="71"/>
  <c r="K30" i="71"/>
  <c r="J30" i="71"/>
  <c r="K29" i="71"/>
  <c r="J29" i="71"/>
  <c r="K28" i="71"/>
  <c r="J28" i="71"/>
  <c r="K27" i="71"/>
  <c r="J27" i="71"/>
  <c r="K26" i="71"/>
  <c r="J26" i="71"/>
  <c r="K25" i="71"/>
  <c r="J25" i="71"/>
  <c r="K24" i="71"/>
  <c r="J24" i="71"/>
  <c r="K23" i="71"/>
  <c r="J23" i="71"/>
  <c r="K22" i="71"/>
  <c r="J22" i="71"/>
  <c r="K21" i="71"/>
  <c r="J21" i="71"/>
  <c r="K20" i="71"/>
  <c r="J20" i="71"/>
  <c r="K19" i="71"/>
  <c r="J19" i="71"/>
  <c r="K18" i="71"/>
  <c r="J18" i="71"/>
  <c r="K17" i="71"/>
  <c r="J17" i="71"/>
  <c r="K16" i="71"/>
  <c r="J16" i="71"/>
  <c r="K15" i="71"/>
  <c r="J15" i="71"/>
  <c r="K14" i="71"/>
  <c r="J14" i="71"/>
  <c r="K13" i="71"/>
  <c r="J13" i="71"/>
  <c r="K12" i="71"/>
  <c r="J12" i="71"/>
  <c r="K11" i="71"/>
  <c r="J11" i="71"/>
  <c r="K10" i="71"/>
  <c r="J10" i="71"/>
  <c r="K9" i="71"/>
  <c r="J9" i="71"/>
  <c r="K8" i="71"/>
  <c r="J8" i="71"/>
  <c r="K7" i="71"/>
  <c r="J7" i="71"/>
  <c r="K6" i="71"/>
  <c r="J6" i="71"/>
  <c r="K5" i="71"/>
  <c r="J5" i="71"/>
  <c r="J39" i="71" s="1"/>
  <c r="K4" i="71"/>
  <c r="J4" i="71"/>
  <c r="K3" i="71"/>
  <c r="K39" i="71" s="1"/>
  <c r="K39" i="79" s="1"/>
  <c r="J3" i="71"/>
  <c r="AY39" i="70"/>
  <c r="AX39" i="70"/>
  <c r="AW39" i="70"/>
  <c r="AV39" i="70"/>
  <c r="AU39" i="70"/>
  <c r="AT39" i="70"/>
  <c r="AS39" i="70"/>
  <c r="AR39" i="70"/>
  <c r="AQ39" i="70"/>
  <c r="AP39" i="70"/>
  <c r="AO39" i="70"/>
  <c r="AN39" i="70"/>
  <c r="AM39" i="70"/>
  <c r="AL39" i="70"/>
  <c r="AK39" i="70"/>
  <c r="AJ39" i="70"/>
  <c r="AI39" i="70"/>
  <c r="AH39" i="70"/>
  <c r="AE39" i="70"/>
  <c r="AD39" i="70"/>
  <c r="AC39" i="70"/>
  <c r="AB39" i="70"/>
  <c r="AA39" i="70"/>
  <c r="Z39" i="70"/>
  <c r="Y39" i="70"/>
  <c r="X39" i="70"/>
  <c r="W39" i="70"/>
  <c r="V39" i="70"/>
  <c r="U39" i="70"/>
  <c r="T39" i="70"/>
  <c r="S39" i="70"/>
  <c r="R39" i="70"/>
  <c r="Q39" i="70"/>
  <c r="P39" i="70"/>
  <c r="O39" i="70"/>
  <c r="N39" i="70"/>
  <c r="M39" i="70"/>
  <c r="L39" i="70"/>
  <c r="K39" i="70"/>
  <c r="J39" i="70"/>
  <c r="I39" i="70"/>
  <c r="H39" i="70"/>
  <c r="G39" i="70"/>
  <c r="F39" i="70"/>
  <c r="E39" i="70"/>
  <c r="D39" i="70"/>
  <c r="C39" i="70"/>
  <c r="B39" i="70"/>
  <c r="AG37" i="70"/>
  <c r="AF37" i="70"/>
  <c r="AF37" i="76" s="1"/>
  <c r="BA36" i="70"/>
  <c r="BA36" i="76" s="1"/>
  <c r="AZ36" i="70"/>
  <c r="AZ36" i="76"/>
  <c r="AG36" i="70"/>
  <c r="AF36" i="70"/>
  <c r="AG35" i="70"/>
  <c r="AF35" i="70"/>
  <c r="AG34" i="70"/>
  <c r="AF34" i="70"/>
  <c r="AG32" i="70"/>
  <c r="AF32" i="70"/>
  <c r="AF32" i="76" s="1"/>
  <c r="AG31" i="70"/>
  <c r="AF31" i="70"/>
  <c r="AG30" i="70"/>
  <c r="AF30" i="70"/>
  <c r="BB30" i="70" s="1"/>
  <c r="AG29" i="70"/>
  <c r="AG29" i="76" s="1"/>
  <c r="AF29" i="70"/>
  <c r="AG28" i="70"/>
  <c r="AF28" i="70"/>
  <c r="AG27" i="70"/>
  <c r="BC27" i="70" s="1"/>
  <c r="AF27" i="70"/>
  <c r="BA26" i="70"/>
  <c r="AZ26" i="70"/>
  <c r="AG26" i="70"/>
  <c r="AF26" i="70"/>
  <c r="BA25" i="70"/>
  <c r="BA25" i="76"/>
  <c r="AZ25" i="70"/>
  <c r="AZ25" i="76" s="1"/>
  <c r="AG25" i="70"/>
  <c r="AF25" i="70"/>
  <c r="BA24" i="70"/>
  <c r="AZ24" i="70"/>
  <c r="AG24" i="70"/>
  <c r="BC24" i="70" s="1"/>
  <c r="AF24" i="70"/>
  <c r="AG23" i="70"/>
  <c r="AF23" i="70"/>
  <c r="AG22" i="70"/>
  <c r="BC22" i="70" s="1"/>
  <c r="AF22" i="70"/>
  <c r="AG21" i="70"/>
  <c r="AF21" i="70"/>
  <c r="AG20" i="70"/>
  <c r="BC20" i="70" s="1"/>
  <c r="AF20" i="70"/>
  <c r="BB20" i="70"/>
  <c r="AG19" i="70"/>
  <c r="BC19" i="70" s="1"/>
  <c r="AF19" i="70"/>
  <c r="BB19" i="70"/>
  <c r="AG18" i="70"/>
  <c r="BC18" i="70" s="1"/>
  <c r="AF18" i="70"/>
  <c r="AG17" i="70"/>
  <c r="AF17" i="70"/>
  <c r="BA16" i="70"/>
  <c r="BC16" i="70" s="1"/>
  <c r="AZ16" i="70"/>
  <c r="AG16" i="70"/>
  <c r="AF16" i="70"/>
  <c r="BA15" i="70"/>
  <c r="AZ15" i="70"/>
  <c r="AG15" i="70"/>
  <c r="AF15" i="70"/>
  <c r="BA14" i="70"/>
  <c r="AZ14" i="70"/>
  <c r="AG14" i="70"/>
  <c r="AF14" i="70"/>
  <c r="AF14" i="76" s="1"/>
  <c r="AG13" i="70"/>
  <c r="BC13" i="70" s="1"/>
  <c r="AF13" i="70"/>
  <c r="AG12" i="70"/>
  <c r="BC12" i="70"/>
  <c r="AF12" i="70"/>
  <c r="BB12" i="70" s="1"/>
  <c r="AG11" i="70"/>
  <c r="BC11" i="70"/>
  <c r="AF11" i="70"/>
  <c r="BB11" i="70" s="1"/>
  <c r="AG10" i="70"/>
  <c r="BC10" i="70"/>
  <c r="AF10" i="70"/>
  <c r="BB10" i="70" s="1"/>
  <c r="AG9" i="70"/>
  <c r="BC9" i="70"/>
  <c r="AF9" i="70"/>
  <c r="BB9" i="70" s="1"/>
  <c r="AG8" i="70"/>
  <c r="AF8" i="70"/>
  <c r="AF8" i="76" s="1"/>
  <c r="BB8" i="76" s="1"/>
  <c r="AG7" i="70"/>
  <c r="AF7" i="70"/>
  <c r="AG6" i="70"/>
  <c r="AF6" i="70"/>
  <c r="AF39" i="70" s="1"/>
  <c r="AG5" i="70"/>
  <c r="AF5" i="70"/>
  <c r="BC4" i="70"/>
  <c r="BB4" i="70"/>
  <c r="AG3" i="70"/>
  <c r="AF3" i="70"/>
  <c r="J40" i="69"/>
  <c r="I40" i="69"/>
  <c r="I40" i="75" s="1"/>
  <c r="N38" i="69"/>
  <c r="M38" i="69"/>
  <c r="L38" i="69"/>
  <c r="P38" i="69" s="1"/>
  <c r="K38" i="69"/>
  <c r="H38" i="69"/>
  <c r="G38" i="69"/>
  <c r="F38" i="69"/>
  <c r="F38" i="75" s="1"/>
  <c r="E38" i="69"/>
  <c r="D38" i="69"/>
  <c r="C38" i="69"/>
  <c r="B38" i="69"/>
  <c r="O38" i="69" s="1"/>
  <c r="N37" i="69"/>
  <c r="M37" i="69"/>
  <c r="L37" i="69"/>
  <c r="K37" i="69"/>
  <c r="H37" i="69"/>
  <c r="G37" i="69"/>
  <c r="F37" i="69"/>
  <c r="E37" i="69"/>
  <c r="D37" i="69"/>
  <c r="C37" i="69"/>
  <c r="B37" i="69"/>
  <c r="N36" i="69"/>
  <c r="M36" i="69"/>
  <c r="L36" i="69"/>
  <c r="K36" i="69"/>
  <c r="H36" i="69"/>
  <c r="G36" i="69"/>
  <c r="F36" i="69"/>
  <c r="E36" i="69"/>
  <c r="D36" i="69"/>
  <c r="D36" i="75" s="1"/>
  <c r="C36" i="69"/>
  <c r="B36" i="69"/>
  <c r="N35" i="69"/>
  <c r="M35" i="69"/>
  <c r="L35" i="69"/>
  <c r="K35" i="69"/>
  <c r="H35" i="69"/>
  <c r="G35" i="69"/>
  <c r="F35" i="69"/>
  <c r="E35" i="69"/>
  <c r="D35" i="69"/>
  <c r="C35" i="69"/>
  <c r="P35" i="69" s="1"/>
  <c r="B35" i="69"/>
  <c r="O35" i="69" s="1"/>
  <c r="N33" i="69"/>
  <c r="M33" i="69"/>
  <c r="L33" i="69"/>
  <c r="P33" i="69" s="1"/>
  <c r="K33" i="69"/>
  <c r="H33" i="69"/>
  <c r="G33" i="69"/>
  <c r="F33" i="69"/>
  <c r="F33" i="75" s="1"/>
  <c r="E33" i="69"/>
  <c r="D33" i="69"/>
  <c r="C33" i="69"/>
  <c r="B33" i="69"/>
  <c r="O33" i="69" s="1"/>
  <c r="N32" i="69"/>
  <c r="M32" i="69"/>
  <c r="L32" i="69"/>
  <c r="K32" i="69"/>
  <c r="H32" i="69"/>
  <c r="G32" i="69"/>
  <c r="F32" i="69"/>
  <c r="E32" i="69"/>
  <c r="P32" i="69" s="1"/>
  <c r="D32" i="69"/>
  <c r="C32" i="69"/>
  <c r="B32" i="69"/>
  <c r="N31" i="69"/>
  <c r="M31" i="69"/>
  <c r="L31" i="69"/>
  <c r="K31" i="69"/>
  <c r="H31" i="69"/>
  <c r="G31" i="69"/>
  <c r="F31" i="69"/>
  <c r="E31" i="69"/>
  <c r="D31" i="69"/>
  <c r="C31" i="69"/>
  <c r="B31" i="69"/>
  <c r="N30" i="69"/>
  <c r="M30" i="69"/>
  <c r="L30" i="69"/>
  <c r="K30" i="69"/>
  <c r="H30" i="69"/>
  <c r="G30" i="69"/>
  <c r="F30" i="69"/>
  <c r="E30" i="69"/>
  <c r="D30" i="69"/>
  <c r="C30" i="69"/>
  <c r="P30" i="69" s="1"/>
  <c r="B30" i="69"/>
  <c r="O30" i="69" s="1"/>
  <c r="N29" i="69"/>
  <c r="M29" i="69"/>
  <c r="L29" i="69"/>
  <c r="P29" i="69" s="1"/>
  <c r="K29" i="69"/>
  <c r="H29" i="69"/>
  <c r="G29" i="69"/>
  <c r="F29" i="69"/>
  <c r="E29" i="69"/>
  <c r="D29" i="69"/>
  <c r="C29" i="69"/>
  <c r="B29" i="69"/>
  <c r="O29" i="69" s="1"/>
  <c r="N28" i="69"/>
  <c r="M28" i="69"/>
  <c r="L28" i="69"/>
  <c r="K28" i="69"/>
  <c r="H28" i="69"/>
  <c r="G28" i="69"/>
  <c r="F28" i="69"/>
  <c r="E28" i="69"/>
  <c r="P28" i="69" s="1"/>
  <c r="D28" i="69"/>
  <c r="C28" i="69"/>
  <c r="B28" i="69"/>
  <c r="N27" i="69"/>
  <c r="P27" i="69" s="1"/>
  <c r="M27" i="69"/>
  <c r="L27" i="69"/>
  <c r="K27" i="69"/>
  <c r="H27" i="69"/>
  <c r="G27" i="69"/>
  <c r="F27" i="69"/>
  <c r="E27" i="69"/>
  <c r="D27" i="69"/>
  <c r="C27" i="69"/>
  <c r="B27" i="69"/>
  <c r="N26" i="69"/>
  <c r="M26" i="69"/>
  <c r="L26" i="69"/>
  <c r="K26" i="69"/>
  <c r="H26" i="69"/>
  <c r="G26" i="69"/>
  <c r="F26" i="69"/>
  <c r="E26" i="69"/>
  <c r="D26" i="69"/>
  <c r="C26" i="69"/>
  <c r="P26" i="69" s="1"/>
  <c r="B26" i="69"/>
  <c r="O26" i="69" s="1"/>
  <c r="N25" i="69"/>
  <c r="M25" i="69"/>
  <c r="L25" i="69"/>
  <c r="K25" i="69"/>
  <c r="H25" i="69"/>
  <c r="G25" i="69"/>
  <c r="F25" i="69"/>
  <c r="F25" i="75" s="1"/>
  <c r="E25" i="69"/>
  <c r="P25" i="69" s="1"/>
  <c r="D25" i="69"/>
  <c r="C25" i="69"/>
  <c r="B25" i="69"/>
  <c r="O25" i="69" s="1"/>
  <c r="N24" i="69"/>
  <c r="M24" i="69"/>
  <c r="L24" i="69"/>
  <c r="K24" i="69"/>
  <c r="O24" i="69" s="1"/>
  <c r="H24" i="69"/>
  <c r="G24" i="69"/>
  <c r="F24" i="69"/>
  <c r="E24" i="69"/>
  <c r="P24" i="69" s="1"/>
  <c r="D24" i="69"/>
  <c r="C24" i="69"/>
  <c r="B24" i="69"/>
  <c r="N23" i="69"/>
  <c r="P23" i="69" s="1"/>
  <c r="M23" i="69"/>
  <c r="L23" i="69"/>
  <c r="K23" i="69"/>
  <c r="H23" i="69"/>
  <c r="H23" i="75" s="1"/>
  <c r="G23" i="69"/>
  <c r="F23" i="69"/>
  <c r="E23" i="69"/>
  <c r="D23" i="69"/>
  <c r="C23" i="69"/>
  <c r="B23" i="69"/>
  <c r="N22" i="69"/>
  <c r="M22" i="69"/>
  <c r="L22" i="69"/>
  <c r="K22" i="69"/>
  <c r="H22" i="69"/>
  <c r="G22" i="69"/>
  <c r="F22" i="69"/>
  <c r="E22" i="69"/>
  <c r="D22" i="69"/>
  <c r="C22" i="69"/>
  <c r="P22" i="69" s="1"/>
  <c r="B22" i="69"/>
  <c r="N21" i="69"/>
  <c r="M21" i="69"/>
  <c r="H21" i="69"/>
  <c r="G21" i="69"/>
  <c r="F21" i="69"/>
  <c r="E21" i="69"/>
  <c r="D21" i="69"/>
  <c r="O21" i="69" s="1"/>
  <c r="C21" i="69"/>
  <c r="P21" i="69" s="1"/>
  <c r="P21" i="75" s="1"/>
  <c r="B21" i="69"/>
  <c r="N20" i="69"/>
  <c r="M20" i="69"/>
  <c r="L20" i="69"/>
  <c r="K20" i="69"/>
  <c r="H20" i="69"/>
  <c r="G20" i="69"/>
  <c r="F20" i="69"/>
  <c r="E20" i="69"/>
  <c r="D20" i="69"/>
  <c r="C20" i="69"/>
  <c r="P20" i="69" s="1"/>
  <c r="B20" i="69"/>
  <c r="N19" i="69"/>
  <c r="M19" i="69"/>
  <c r="L19" i="69"/>
  <c r="P19" i="69" s="1"/>
  <c r="K19" i="69"/>
  <c r="H19" i="69"/>
  <c r="G19" i="69"/>
  <c r="G19" i="75" s="1"/>
  <c r="F19" i="69"/>
  <c r="F19" i="75" s="1"/>
  <c r="E19" i="69"/>
  <c r="D19" i="69"/>
  <c r="C19" i="69"/>
  <c r="B19" i="69"/>
  <c r="N18" i="69"/>
  <c r="M18" i="69"/>
  <c r="L18" i="69"/>
  <c r="K18" i="69"/>
  <c r="H18" i="69"/>
  <c r="G18" i="69"/>
  <c r="F18" i="69"/>
  <c r="E18" i="69"/>
  <c r="P18" i="69" s="1"/>
  <c r="P18" i="75" s="1"/>
  <c r="D18" i="69"/>
  <c r="D18" i="75" s="1"/>
  <c r="C18" i="69"/>
  <c r="B18" i="69"/>
  <c r="N17" i="69"/>
  <c r="P17" i="69" s="1"/>
  <c r="M17" i="69"/>
  <c r="L17" i="69"/>
  <c r="K17" i="69"/>
  <c r="H17" i="69"/>
  <c r="G17" i="69"/>
  <c r="F17" i="69"/>
  <c r="E17" i="69"/>
  <c r="D17" i="69"/>
  <c r="O17" i="69" s="1"/>
  <c r="C17" i="69"/>
  <c r="B17" i="69"/>
  <c r="N16" i="69"/>
  <c r="M16" i="69"/>
  <c r="L16" i="69"/>
  <c r="K16" i="69"/>
  <c r="H16" i="69"/>
  <c r="G16" i="69"/>
  <c r="G16" i="75" s="1"/>
  <c r="F16" i="69"/>
  <c r="E16" i="69"/>
  <c r="D16" i="69"/>
  <c r="C16" i="69"/>
  <c r="P16" i="69" s="1"/>
  <c r="B16" i="69"/>
  <c r="N15" i="69"/>
  <c r="M15" i="69"/>
  <c r="L15" i="69"/>
  <c r="K15" i="69"/>
  <c r="H15" i="69"/>
  <c r="G15" i="69"/>
  <c r="F15" i="69"/>
  <c r="E15" i="69"/>
  <c r="P15" i="69" s="1"/>
  <c r="D15" i="69"/>
  <c r="C15" i="69"/>
  <c r="B15" i="69"/>
  <c r="O15" i="69" s="1"/>
  <c r="N14" i="69"/>
  <c r="M14" i="69"/>
  <c r="L14" i="69"/>
  <c r="K14" i="69"/>
  <c r="O14" i="69" s="1"/>
  <c r="H14" i="69"/>
  <c r="G14" i="69"/>
  <c r="F14" i="69"/>
  <c r="E14" i="69"/>
  <c r="P14" i="69" s="1"/>
  <c r="D14" i="69"/>
  <c r="C14" i="69"/>
  <c r="B14" i="69"/>
  <c r="N13" i="69"/>
  <c r="P13" i="69" s="1"/>
  <c r="M13" i="69"/>
  <c r="L13" i="69"/>
  <c r="K13" i="69"/>
  <c r="H13" i="69"/>
  <c r="H13" i="75" s="1"/>
  <c r="G13" i="69"/>
  <c r="F13" i="69"/>
  <c r="E13" i="69"/>
  <c r="D13" i="69"/>
  <c r="O13" i="69" s="1"/>
  <c r="C13" i="69"/>
  <c r="B13" i="69"/>
  <c r="N12" i="69"/>
  <c r="M12" i="69"/>
  <c r="H12" i="69"/>
  <c r="G12" i="69"/>
  <c r="F12" i="69"/>
  <c r="E12" i="69"/>
  <c r="D12" i="69"/>
  <c r="C12" i="69"/>
  <c r="B12" i="69"/>
  <c r="N11" i="69"/>
  <c r="P11" i="69" s="1"/>
  <c r="M11" i="69"/>
  <c r="H11" i="69"/>
  <c r="G11" i="69"/>
  <c r="F11" i="69"/>
  <c r="E11" i="69"/>
  <c r="D11" i="69"/>
  <c r="C11" i="69"/>
  <c r="B11" i="69"/>
  <c r="O11" i="69" s="1"/>
  <c r="N10" i="69"/>
  <c r="M10" i="69"/>
  <c r="H10" i="69"/>
  <c r="G10" i="69"/>
  <c r="F10" i="69"/>
  <c r="E10" i="69"/>
  <c r="D10" i="69"/>
  <c r="C10" i="69"/>
  <c r="P10" i="69" s="1"/>
  <c r="B10" i="69"/>
  <c r="N9" i="69"/>
  <c r="M9" i="69"/>
  <c r="L9" i="69"/>
  <c r="K9" i="69"/>
  <c r="H9" i="69"/>
  <c r="G9" i="69"/>
  <c r="F9" i="69"/>
  <c r="E9" i="69"/>
  <c r="D9" i="69"/>
  <c r="C9" i="69"/>
  <c r="B9" i="69"/>
  <c r="O9" i="69" s="1"/>
  <c r="N8" i="69"/>
  <c r="M8" i="69"/>
  <c r="L8" i="69"/>
  <c r="K8" i="69"/>
  <c r="H8" i="69"/>
  <c r="G8" i="69"/>
  <c r="F8" i="69"/>
  <c r="E8" i="69"/>
  <c r="E8" i="75" s="1"/>
  <c r="D8" i="69"/>
  <c r="C8" i="69"/>
  <c r="B8" i="69"/>
  <c r="N7" i="69"/>
  <c r="M7" i="69"/>
  <c r="L7" i="69"/>
  <c r="K7" i="69"/>
  <c r="H7" i="69"/>
  <c r="H7" i="75" s="1"/>
  <c r="G7" i="69"/>
  <c r="G7" i="75" s="1"/>
  <c r="F7" i="69"/>
  <c r="E7" i="69"/>
  <c r="D7" i="69"/>
  <c r="O7" i="69" s="1"/>
  <c r="C7" i="69"/>
  <c r="P7" i="69" s="1"/>
  <c r="B7" i="69"/>
  <c r="N6" i="69"/>
  <c r="M6" i="69"/>
  <c r="L6" i="69"/>
  <c r="K6" i="69"/>
  <c r="H6" i="69"/>
  <c r="G6" i="69"/>
  <c r="F6" i="69"/>
  <c r="E6" i="69"/>
  <c r="D6" i="69"/>
  <c r="C6" i="69"/>
  <c r="P6" i="69" s="1"/>
  <c r="B6" i="69"/>
  <c r="N5" i="69"/>
  <c r="M5" i="69"/>
  <c r="L5" i="69"/>
  <c r="L40" i="69" s="1"/>
  <c r="K5" i="69"/>
  <c r="H5" i="69"/>
  <c r="G5" i="69"/>
  <c r="F5" i="69"/>
  <c r="F40" i="69" s="1"/>
  <c r="E5" i="69"/>
  <c r="D5" i="69"/>
  <c r="C5" i="69"/>
  <c r="B5" i="69"/>
  <c r="O5" i="69" s="1"/>
  <c r="N4" i="69"/>
  <c r="M4" i="69"/>
  <c r="L4" i="69"/>
  <c r="K4" i="69"/>
  <c r="K40" i="69" s="1"/>
  <c r="H4" i="69"/>
  <c r="G4" i="69"/>
  <c r="F4" i="69"/>
  <c r="E4" i="69"/>
  <c r="P4" i="69" s="1"/>
  <c r="D4" i="69"/>
  <c r="C4" i="69"/>
  <c r="B4" i="69"/>
  <c r="BA12" i="77"/>
  <c r="BA22" i="77"/>
  <c r="AR39" i="72"/>
  <c r="AK35" i="74"/>
  <c r="AT7" i="72"/>
  <c r="AX8" i="77"/>
  <c r="AX18" i="77"/>
  <c r="AT25" i="72"/>
  <c r="AX26" i="77"/>
  <c r="AX27" i="77"/>
  <c r="AT32" i="72"/>
  <c r="AX33" i="77"/>
  <c r="AT36" i="72"/>
  <c r="AX37" i="77"/>
  <c r="AY26" i="77"/>
  <c r="AY8" i="77"/>
  <c r="AY36" i="77"/>
  <c r="AY27" i="77"/>
  <c r="BA27" i="77" s="1"/>
  <c r="AY18" i="77"/>
  <c r="AY37" i="77"/>
  <c r="O10" i="69"/>
  <c r="E40" i="69"/>
  <c r="P8" i="69"/>
  <c r="O19" i="69"/>
  <c r="O23" i="69"/>
  <c r="O31" i="69"/>
  <c r="O36" i="69"/>
  <c r="P37" i="69"/>
  <c r="N40" i="69"/>
  <c r="O8" i="69"/>
  <c r="O18" i="69"/>
  <c r="O22" i="69"/>
  <c r="O28" i="69"/>
  <c r="P31" i="69"/>
  <c r="O32" i="69"/>
  <c r="P36" i="69"/>
  <c r="O37" i="69"/>
  <c r="BB5" i="70"/>
  <c r="AF5" i="76"/>
  <c r="BB5" i="76" s="1"/>
  <c r="AF6" i="76"/>
  <c r="BB7" i="70"/>
  <c r="BB13" i="70"/>
  <c r="BB15" i="70"/>
  <c r="BB16" i="70"/>
  <c r="AF16" i="76"/>
  <c r="BB17" i="70"/>
  <c r="BB18" i="70"/>
  <c r="AF18" i="76"/>
  <c r="BB21" i="70"/>
  <c r="AF21" i="76"/>
  <c r="BB21" i="76"/>
  <c r="BB22" i="70"/>
  <c r="BB23" i="70"/>
  <c r="BB24" i="70"/>
  <c r="BB25" i="70"/>
  <c r="BB26" i="70"/>
  <c r="BB27" i="70"/>
  <c r="AF27" i="76"/>
  <c r="BB28" i="70"/>
  <c r="AF28" i="76"/>
  <c r="BB28" i="76" s="1"/>
  <c r="BB29" i="70"/>
  <c r="AF29" i="76"/>
  <c r="BB29" i="76"/>
  <c r="BB31" i="70"/>
  <c r="AF31" i="76"/>
  <c r="BB32" i="70"/>
  <c r="BB34" i="70"/>
  <c r="BB35" i="70"/>
  <c r="BB36" i="70"/>
  <c r="AG39" i="70"/>
  <c r="AG3" i="76"/>
  <c r="BC5" i="70"/>
  <c r="BC6" i="70"/>
  <c r="BC7" i="70"/>
  <c r="BC8" i="70"/>
  <c r="AG8" i="76"/>
  <c r="BC14" i="70"/>
  <c r="AG14" i="76"/>
  <c r="BC15" i="70"/>
  <c r="AG16" i="76"/>
  <c r="BC17" i="70"/>
  <c r="AG17" i="76"/>
  <c r="AG18" i="76"/>
  <c r="BC21" i="70"/>
  <c r="AG21" i="76"/>
  <c r="AG22" i="76"/>
  <c r="BC22" i="76"/>
  <c r="BC23" i="70"/>
  <c r="BC25" i="70"/>
  <c r="AG25" i="76"/>
  <c r="BC26" i="70"/>
  <c r="BC28" i="70"/>
  <c r="AG28" i="76"/>
  <c r="BC29" i="70"/>
  <c r="BC30" i="70"/>
  <c r="AG30" i="76"/>
  <c r="BC31" i="70"/>
  <c r="BC32" i="70"/>
  <c r="AG32" i="76"/>
  <c r="BC34" i="70"/>
  <c r="BC35" i="70"/>
  <c r="AG35" i="76"/>
  <c r="BC35" i="76"/>
  <c r="BC36" i="70"/>
  <c r="BC37" i="70"/>
  <c r="AG37" i="76"/>
  <c r="BC37" i="76"/>
  <c r="AT3" i="72"/>
  <c r="AT39" i="72" s="1"/>
  <c r="AT40" i="77" s="1"/>
  <c r="AU31" i="72"/>
  <c r="AS39" i="72"/>
  <c r="AS40" i="77" s="1"/>
  <c r="AT31" i="72"/>
  <c r="BC3" i="70"/>
  <c r="BB3" i="70"/>
  <c r="D67" i="42"/>
  <c r="E16" i="42"/>
  <c r="E15" i="42"/>
  <c r="D16" i="42"/>
  <c r="D15" i="42"/>
  <c r="E74" i="42"/>
  <c r="F18" i="92"/>
  <c r="J18" i="92" s="1"/>
  <c r="H19" i="92"/>
  <c r="C9" i="87"/>
  <c r="B9" i="88"/>
  <c r="H20" i="92"/>
  <c r="B9" i="87"/>
  <c r="H6" i="75"/>
  <c r="H15" i="75"/>
  <c r="H16" i="75"/>
  <c r="H17" i="75"/>
  <c r="H19" i="75"/>
  <c r="H25" i="75"/>
  <c r="H26" i="75"/>
  <c r="H28" i="75"/>
  <c r="H33" i="75"/>
  <c r="H37" i="75"/>
  <c r="H38" i="75"/>
  <c r="G8" i="75"/>
  <c r="G12" i="75"/>
  <c r="G13" i="75"/>
  <c r="G14" i="75"/>
  <c r="G15" i="75"/>
  <c r="G22" i="75"/>
  <c r="G23" i="75"/>
  <c r="G24" i="75"/>
  <c r="G29" i="75"/>
  <c r="G30" i="75"/>
  <c r="G31" i="75"/>
  <c r="G32" i="75"/>
  <c r="G33" i="75"/>
  <c r="G36" i="75"/>
  <c r="G37" i="75"/>
  <c r="F5" i="75"/>
  <c r="F6" i="75"/>
  <c r="F7" i="75"/>
  <c r="F13" i="75"/>
  <c r="F15" i="75"/>
  <c r="F18" i="75"/>
  <c r="F23" i="75"/>
  <c r="F24" i="75"/>
  <c r="F28" i="75"/>
  <c r="F29" i="75"/>
  <c r="F30" i="75"/>
  <c r="F36" i="75"/>
  <c r="D5" i="75"/>
  <c r="E5" i="75"/>
  <c r="D6" i="75"/>
  <c r="E6" i="75"/>
  <c r="E7" i="75"/>
  <c r="D10" i="75"/>
  <c r="E10" i="75"/>
  <c r="D12" i="75"/>
  <c r="E13" i="75"/>
  <c r="E17" i="75"/>
  <c r="E18" i="75"/>
  <c r="E21" i="75"/>
  <c r="D22" i="75"/>
  <c r="D23" i="75"/>
  <c r="E23" i="75"/>
  <c r="D26" i="75"/>
  <c r="E27" i="75"/>
  <c r="E31" i="75"/>
  <c r="D35" i="75"/>
  <c r="E35" i="75"/>
  <c r="D37" i="75"/>
  <c r="E37" i="75"/>
  <c r="C35" i="41"/>
  <c r="E97" i="42" s="1"/>
  <c r="D35" i="41"/>
  <c r="D95" i="42" s="1"/>
  <c r="E35" i="41"/>
  <c r="F35" i="41"/>
  <c r="G35" i="41"/>
  <c r="E86" i="42" s="1"/>
  <c r="H35" i="41"/>
  <c r="D100" i="42" s="1"/>
  <c r="I35" i="41"/>
  <c r="J35" i="41"/>
  <c r="K35" i="41"/>
  <c r="E94" i="42" s="1"/>
  <c r="L35" i="41"/>
  <c r="M35" i="41"/>
  <c r="N35" i="41"/>
  <c r="O35" i="41"/>
  <c r="E90" i="42" s="1"/>
  <c r="P35" i="41"/>
  <c r="Q35" i="41"/>
  <c r="R35" i="41"/>
  <c r="S35" i="41"/>
  <c r="E93" i="42" s="1"/>
  <c r="T35" i="41"/>
  <c r="U35" i="41"/>
  <c r="V35" i="41"/>
  <c r="W35" i="41"/>
  <c r="E84" i="42" s="1"/>
  <c r="X35" i="41"/>
  <c r="Y35" i="41"/>
  <c r="Z35" i="41"/>
  <c r="AA35" i="41"/>
  <c r="E87" i="42" s="1"/>
  <c r="AB35" i="41"/>
  <c r="AC35" i="41"/>
  <c r="AD35" i="41"/>
  <c r="AE35" i="41"/>
  <c r="E89" i="42" s="1"/>
  <c r="AF35" i="41"/>
  <c r="AG35" i="41"/>
  <c r="AH35" i="41"/>
  <c r="AI35" i="41"/>
  <c r="E98" i="42" s="1"/>
  <c r="AJ4" i="41"/>
  <c r="K8" i="34" s="1"/>
  <c r="K5" i="75" s="1"/>
  <c r="AK4" i="41"/>
  <c r="L8" i="34"/>
  <c r="L5" i="75" s="1"/>
  <c r="AJ5" i="41"/>
  <c r="K9" i="34"/>
  <c r="K6" i="75"/>
  <c r="AK5" i="41"/>
  <c r="L9" i="34" s="1"/>
  <c r="L6" i="75" s="1"/>
  <c r="AJ6" i="41"/>
  <c r="K10" i="34"/>
  <c r="K7" i="75" s="1"/>
  <c r="AK6" i="41"/>
  <c r="L10" i="34" s="1"/>
  <c r="AJ7" i="41"/>
  <c r="K11" i="34" s="1"/>
  <c r="AK7" i="41"/>
  <c r="L11" i="34"/>
  <c r="L8" i="75" s="1"/>
  <c r="AJ8" i="41"/>
  <c r="K12" i="34"/>
  <c r="K9" i="75"/>
  <c r="AK8" i="41"/>
  <c r="L12" i="34" s="1"/>
  <c r="L9" i="75"/>
  <c r="AJ9" i="41"/>
  <c r="K16" i="34"/>
  <c r="K13" i="75" s="1"/>
  <c r="AK9" i="41"/>
  <c r="L16" i="34"/>
  <c r="L13" i="75"/>
  <c r="AJ10" i="41"/>
  <c r="K17" i="34"/>
  <c r="AK10" i="41"/>
  <c r="L17" i="34"/>
  <c r="L14" i="75" s="1"/>
  <c r="AJ11" i="41"/>
  <c r="K18" i="34" s="1"/>
  <c r="K15" i="75" s="1"/>
  <c r="AK11" i="41"/>
  <c r="L18" i="34"/>
  <c r="L15" i="75" s="1"/>
  <c r="AJ12" i="41"/>
  <c r="K19" i="34" s="1"/>
  <c r="K16" i="75"/>
  <c r="AK12" i="41"/>
  <c r="L19" i="34" s="1"/>
  <c r="L16" i="75" s="1"/>
  <c r="AJ13" i="41"/>
  <c r="K20" i="34"/>
  <c r="K17" i="75"/>
  <c r="AK13" i="41"/>
  <c r="L20" i="34"/>
  <c r="AJ14" i="41"/>
  <c r="K21" i="34"/>
  <c r="AK14" i="41"/>
  <c r="L21" i="34"/>
  <c r="AJ15" i="41"/>
  <c r="K22" i="34"/>
  <c r="AK15" i="41"/>
  <c r="L22" i="34"/>
  <c r="L19" i="75"/>
  <c r="AJ16" i="41"/>
  <c r="K23" i="34"/>
  <c r="K20" i="75"/>
  <c r="AK16" i="41"/>
  <c r="L23" i="34" s="1"/>
  <c r="L20" i="75"/>
  <c r="AJ17" i="41"/>
  <c r="K25" i="34"/>
  <c r="K22" i="75" s="1"/>
  <c r="AK17" i="41"/>
  <c r="L25" i="34"/>
  <c r="AJ18" i="41"/>
  <c r="K26" i="34"/>
  <c r="K23" i="75"/>
  <c r="AK18" i="41"/>
  <c r="L26" i="34" s="1"/>
  <c r="L23" i="75"/>
  <c r="AJ19" i="41"/>
  <c r="K27" i="34"/>
  <c r="K24" i="75" s="1"/>
  <c r="AK19" i="41"/>
  <c r="L27" i="34"/>
  <c r="L24" i="75"/>
  <c r="AJ20" i="41"/>
  <c r="K28" i="34"/>
  <c r="AK20" i="41"/>
  <c r="L28" i="34"/>
  <c r="L25" i="75" s="1"/>
  <c r="AJ21" i="41"/>
  <c r="K29" i="34" s="1"/>
  <c r="AK21" i="41"/>
  <c r="L29" i="34" s="1"/>
  <c r="L26" i="75"/>
  <c r="AJ22" i="41"/>
  <c r="K30" i="34" s="1"/>
  <c r="K27" i="75" s="1"/>
  <c r="AK22" i="41"/>
  <c r="L30" i="34"/>
  <c r="L27" i="75"/>
  <c r="AJ23" i="41"/>
  <c r="K31" i="34"/>
  <c r="AK23" i="41"/>
  <c r="L31" i="34"/>
  <c r="AJ24" i="41"/>
  <c r="K32" i="34"/>
  <c r="K29" i="75"/>
  <c r="AK24" i="41"/>
  <c r="L32" i="34"/>
  <c r="AJ25" i="41"/>
  <c r="K33" i="34"/>
  <c r="K30" i="75" s="1"/>
  <c r="AK25" i="41"/>
  <c r="L33" i="34" s="1"/>
  <c r="L30" i="75" s="1"/>
  <c r="AJ26" i="41"/>
  <c r="K34" i="34"/>
  <c r="AK26" i="41"/>
  <c r="L34" i="34"/>
  <c r="AJ27" i="41"/>
  <c r="K35" i="34"/>
  <c r="K32" i="75" s="1"/>
  <c r="AK27" i="41"/>
  <c r="L35" i="34" s="1"/>
  <c r="L32" i="75"/>
  <c r="AJ28" i="41"/>
  <c r="K36" i="34" s="1"/>
  <c r="AK28" i="41"/>
  <c r="L36" i="34"/>
  <c r="L33" i="75"/>
  <c r="AJ29" i="41"/>
  <c r="K37" i="34"/>
  <c r="AK29" i="41"/>
  <c r="L37" i="34"/>
  <c r="AJ30" i="41"/>
  <c r="K38" i="34"/>
  <c r="AK30" i="41"/>
  <c r="L38" i="34"/>
  <c r="L35" i="75" s="1"/>
  <c r="AJ31" i="41"/>
  <c r="K39" i="34"/>
  <c r="K36" i="75" s="1"/>
  <c r="AK31" i="41"/>
  <c r="L39" i="34" s="1"/>
  <c r="AJ32" i="41"/>
  <c r="K40" i="34" s="1"/>
  <c r="K37" i="75" s="1"/>
  <c r="AK32" i="41"/>
  <c r="L40" i="34" s="1"/>
  <c r="L37" i="75"/>
  <c r="AJ33" i="41"/>
  <c r="K41" i="34" s="1"/>
  <c r="K38" i="75" s="1"/>
  <c r="AK33" i="41"/>
  <c r="L41" i="34"/>
  <c r="L38" i="75"/>
  <c r="AK3" i="41"/>
  <c r="L7" i="34"/>
  <c r="AJ3" i="41"/>
  <c r="K7" i="34"/>
  <c r="K4" i="75" s="1"/>
  <c r="B35" i="41"/>
  <c r="C39" i="29"/>
  <c r="C39" i="78" s="1"/>
  <c r="D39" i="29"/>
  <c r="D39" i="78" s="1"/>
  <c r="E39" i="29"/>
  <c r="F39" i="29"/>
  <c r="G39" i="29"/>
  <c r="G39" i="78" s="1"/>
  <c r="H39" i="29"/>
  <c r="H39" i="78" s="1"/>
  <c r="I39" i="29"/>
  <c r="B39" i="29"/>
  <c r="B39" i="78" s="1"/>
  <c r="J4" i="29"/>
  <c r="J4" i="78" s="1"/>
  <c r="J5" i="29"/>
  <c r="J6" i="29"/>
  <c r="J7" i="29"/>
  <c r="J8" i="29"/>
  <c r="M12" i="34" s="1"/>
  <c r="M9" i="75" s="1"/>
  <c r="J9" i="29"/>
  <c r="M13" i="34" s="1"/>
  <c r="N13" i="34"/>
  <c r="J10" i="29"/>
  <c r="M14" i="34"/>
  <c r="N14" i="34"/>
  <c r="J11" i="29"/>
  <c r="M15" i="34" s="1"/>
  <c r="N15" i="34"/>
  <c r="J12" i="29"/>
  <c r="J13" i="29"/>
  <c r="J13" i="78" s="1"/>
  <c r="J14" i="29"/>
  <c r="M18" i="34"/>
  <c r="N18" i="34"/>
  <c r="J15" i="29"/>
  <c r="M19" i="34" s="1"/>
  <c r="N19" i="34"/>
  <c r="J16" i="29"/>
  <c r="M20" i="34"/>
  <c r="N20" i="34"/>
  <c r="J17" i="29"/>
  <c r="J17" i="78" s="1"/>
  <c r="J18" i="29"/>
  <c r="M22" i="34" s="1"/>
  <c r="M19" i="75" s="1"/>
  <c r="J19" i="29"/>
  <c r="J20" i="29"/>
  <c r="J21" i="29"/>
  <c r="M25" i="34"/>
  <c r="P25" i="34" s="1"/>
  <c r="O22" i="75" s="1"/>
  <c r="N25" i="34"/>
  <c r="J22" i="29"/>
  <c r="J23" i="29"/>
  <c r="M27" i="34"/>
  <c r="N27" i="34"/>
  <c r="Q27" i="34" s="1"/>
  <c r="J24" i="29"/>
  <c r="J25" i="29"/>
  <c r="J25" i="78" s="1"/>
  <c r="J26" i="29"/>
  <c r="J26" i="78" s="1"/>
  <c r="J27" i="29"/>
  <c r="J27" i="78" s="1"/>
  <c r="J28" i="29"/>
  <c r="J29" i="29"/>
  <c r="M33" i="34"/>
  <c r="N33" i="34"/>
  <c r="J30" i="29"/>
  <c r="M34" i="34"/>
  <c r="N34" i="34"/>
  <c r="J31" i="29"/>
  <c r="M35" i="34" s="1"/>
  <c r="N35" i="34"/>
  <c r="J32" i="29"/>
  <c r="J32" i="78" s="1"/>
  <c r="J33" i="29"/>
  <c r="M37" i="34" s="1"/>
  <c r="N37" i="34"/>
  <c r="J34" i="29"/>
  <c r="J34" i="78" s="1"/>
  <c r="J35" i="29"/>
  <c r="M39" i="34" s="1"/>
  <c r="N39" i="34"/>
  <c r="J36" i="29"/>
  <c r="M40" i="34" s="1"/>
  <c r="N40" i="34"/>
  <c r="J37" i="29"/>
  <c r="K3" i="29"/>
  <c r="J3" i="29"/>
  <c r="J3" i="78" s="1"/>
  <c r="D49" i="42"/>
  <c r="E49" i="42"/>
  <c r="D50" i="42"/>
  <c r="E50" i="42"/>
  <c r="E52" i="42"/>
  <c r="E14" i="75"/>
  <c r="E28" i="75"/>
  <c r="E36" i="75"/>
  <c r="D20" i="75"/>
  <c r="D25" i="75"/>
  <c r="D28" i="75"/>
  <c r="D33" i="75"/>
  <c r="H39" i="76"/>
  <c r="I39" i="76"/>
  <c r="J39" i="79"/>
  <c r="AI27" i="57"/>
  <c r="AL27" i="57" s="1"/>
  <c r="BA26" i="31"/>
  <c r="AZ26" i="31"/>
  <c r="AZ26" i="76" s="1"/>
  <c r="M38" i="34"/>
  <c r="M35" i="75" s="1"/>
  <c r="J6" i="78"/>
  <c r="M10" i="34"/>
  <c r="M7" i="75" s="1"/>
  <c r="J37" i="78"/>
  <c r="M41" i="34"/>
  <c r="M38" i="75" s="1"/>
  <c r="M36" i="34"/>
  <c r="M33" i="75" s="1"/>
  <c r="J7" i="78"/>
  <c r="M11" i="34"/>
  <c r="M8" i="75" s="1"/>
  <c r="M7" i="34"/>
  <c r="M29" i="34"/>
  <c r="M26" i="75" s="1"/>
  <c r="J22" i="78"/>
  <c r="M26" i="34"/>
  <c r="M23" i="75"/>
  <c r="J5" i="78"/>
  <c r="M9" i="34"/>
  <c r="M30" i="34"/>
  <c r="M27" i="75"/>
  <c r="J20" i="78"/>
  <c r="M24" i="34"/>
  <c r="M31" i="34"/>
  <c r="K28" i="75"/>
  <c r="J28" i="78"/>
  <c r="M32" i="34"/>
  <c r="M29" i="75" s="1"/>
  <c r="J24" i="78"/>
  <c r="M28" i="34"/>
  <c r="J18" i="78"/>
  <c r="M17" i="34"/>
  <c r="M14" i="75" s="1"/>
  <c r="J8" i="78"/>
  <c r="K37" i="78"/>
  <c r="N41" i="34"/>
  <c r="N38" i="75"/>
  <c r="K34" i="78"/>
  <c r="N38" i="34"/>
  <c r="N35" i="75"/>
  <c r="K27" i="78"/>
  <c r="N31" i="34"/>
  <c r="N28" i="75"/>
  <c r="K25" i="78"/>
  <c r="N29" i="34"/>
  <c r="Q29" i="34" s="1"/>
  <c r="P26" i="75" s="1"/>
  <c r="K22" i="78"/>
  <c r="N26" i="34"/>
  <c r="N23" i="75"/>
  <c r="K20" i="78"/>
  <c r="N24" i="34"/>
  <c r="K19" i="78"/>
  <c r="N23" i="34"/>
  <c r="N20" i="75"/>
  <c r="K17" i="78"/>
  <c r="N21" i="34"/>
  <c r="N18" i="75"/>
  <c r="K13" i="78"/>
  <c r="N17" i="34"/>
  <c r="N14" i="75"/>
  <c r="K12" i="78"/>
  <c r="N16" i="34"/>
  <c r="K8" i="78"/>
  <c r="N12" i="34"/>
  <c r="N9" i="75"/>
  <c r="K7" i="78"/>
  <c r="N11" i="34"/>
  <c r="N8" i="75"/>
  <c r="K6" i="78"/>
  <c r="N10" i="34"/>
  <c r="N7" i="75"/>
  <c r="K5" i="78"/>
  <c r="N9" i="34"/>
  <c r="K32" i="78"/>
  <c r="N36" i="34"/>
  <c r="N33" i="75"/>
  <c r="K28" i="78"/>
  <c r="N32" i="34"/>
  <c r="K26" i="78"/>
  <c r="N30" i="34"/>
  <c r="N27" i="75"/>
  <c r="K24" i="78"/>
  <c r="N28" i="34"/>
  <c r="N25" i="75"/>
  <c r="K18" i="78"/>
  <c r="N22" i="34"/>
  <c r="N19" i="75"/>
  <c r="C9" i="88"/>
  <c r="I20" i="92"/>
  <c r="F30" i="34"/>
  <c r="F27" i="75" s="1"/>
  <c r="K4" i="78"/>
  <c r="N8" i="34"/>
  <c r="N5" i="75"/>
  <c r="M8" i="34"/>
  <c r="M5" i="75" s="1"/>
  <c r="L4" i="75"/>
  <c r="B39" i="76"/>
  <c r="D8" i="42"/>
  <c r="AN39" i="76"/>
  <c r="D31" i="42"/>
  <c r="AL39" i="76"/>
  <c r="D30" i="42"/>
  <c r="AD39" i="76"/>
  <c r="D27" i="42"/>
  <c r="V39" i="76"/>
  <c r="D23" i="42"/>
  <c r="D77" i="42"/>
  <c r="F39" i="78"/>
  <c r="D79" i="42"/>
  <c r="B38" i="80"/>
  <c r="D97" i="42"/>
  <c r="AH38" i="80"/>
  <c r="D98" i="42"/>
  <c r="AF38" i="80"/>
  <c r="D99" i="42"/>
  <c r="AD38" i="80"/>
  <c r="D89" i="42"/>
  <c r="AB38" i="80"/>
  <c r="D96" i="42"/>
  <c r="Z38" i="80"/>
  <c r="D87" i="42"/>
  <c r="X38" i="80"/>
  <c r="D88" i="42"/>
  <c r="V38" i="80"/>
  <c r="D84" i="42"/>
  <c r="T38" i="80"/>
  <c r="D92" i="42"/>
  <c r="R38" i="80"/>
  <c r="D93" i="42"/>
  <c r="P38" i="80"/>
  <c r="D91" i="42"/>
  <c r="N38" i="80"/>
  <c r="D90" i="42"/>
  <c r="L38" i="80"/>
  <c r="D85" i="42"/>
  <c r="J38" i="80"/>
  <c r="D94" i="42"/>
  <c r="H38" i="80"/>
  <c r="F38" i="80"/>
  <c r="D86" i="42"/>
  <c r="D38" i="80"/>
  <c r="BA26" i="76"/>
  <c r="AO39" i="76"/>
  <c r="E31" i="42"/>
  <c r="AM39" i="76"/>
  <c r="E30" i="42"/>
  <c r="AE39" i="76"/>
  <c r="E27" i="42"/>
  <c r="W39" i="76"/>
  <c r="E23" i="42"/>
  <c r="Q39" i="76"/>
  <c r="E20" i="42"/>
  <c r="C39" i="76"/>
  <c r="E8" i="42"/>
  <c r="E79" i="42"/>
  <c r="E39" i="78"/>
  <c r="E78" i="42"/>
  <c r="E77" i="42"/>
  <c r="E81" i="42"/>
  <c r="C8" i="87" s="1"/>
  <c r="AI38" i="80"/>
  <c r="AG38" i="80"/>
  <c r="E99" i="42"/>
  <c r="AE38" i="80"/>
  <c r="AC38" i="80"/>
  <c r="E96" i="42"/>
  <c r="AA38" i="80"/>
  <c r="Y38" i="80"/>
  <c r="E88" i="42"/>
  <c r="W38" i="80"/>
  <c r="U38" i="80"/>
  <c r="E92" i="42"/>
  <c r="S38" i="80"/>
  <c r="Q38" i="80"/>
  <c r="E91" i="42"/>
  <c r="O38" i="80"/>
  <c r="M38" i="80"/>
  <c r="E85" i="42"/>
  <c r="K38" i="80"/>
  <c r="I38" i="80"/>
  <c r="E100" i="42"/>
  <c r="G38" i="80"/>
  <c r="E38" i="80"/>
  <c r="E95" i="42"/>
  <c r="C38" i="80"/>
  <c r="G4" i="75"/>
  <c r="C23" i="75"/>
  <c r="C13" i="75"/>
  <c r="C5" i="75"/>
  <c r="AG36" i="76"/>
  <c r="BC36" i="76"/>
  <c r="AF36" i="76"/>
  <c r="AQ39" i="76"/>
  <c r="E32" i="42"/>
  <c r="AP39" i="76"/>
  <c r="D32" i="42"/>
  <c r="AI39" i="76"/>
  <c r="E28" i="42"/>
  <c r="AH39" i="76"/>
  <c r="D28" i="42"/>
  <c r="Y39" i="76"/>
  <c r="E24" i="42"/>
  <c r="X39" i="76"/>
  <c r="D24" i="42"/>
  <c r="G39" i="76"/>
  <c r="E10" i="42"/>
  <c r="AF25" i="76"/>
  <c r="AW39" i="76"/>
  <c r="E35" i="42"/>
  <c r="AV39" i="76"/>
  <c r="D35" i="42"/>
  <c r="AK39" i="76"/>
  <c r="E29" i="42"/>
  <c r="AJ39" i="76"/>
  <c r="D29" i="42"/>
  <c r="U39" i="76"/>
  <c r="E22" i="42"/>
  <c r="T39" i="76"/>
  <c r="D22" i="42"/>
  <c r="P39" i="76"/>
  <c r="D20" i="42"/>
  <c r="H27" i="75"/>
  <c r="I39" i="78"/>
  <c r="E80" i="42"/>
  <c r="D80" i="42"/>
  <c r="AU39" i="76"/>
  <c r="E34" i="42"/>
  <c r="AT39" i="76"/>
  <c r="D34" i="42"/>
  <c r="AS39" i="76"/>
  <c r="E33" i="42"/>
  <c r="AC39" i="76"/>
  <c r="E26" i="42"/>
  <c r="AB39" i="76"/>
  <c r="D26" i="42"/>
  <c r="AA39" i="76"/>
  <c r="E25" i="42"/>
  <c r="R39" i="76"/>
  <c r="D21" i="42"/>
  <c r="M39" i="76"/>
  <c r="E12" i="42"/>
  <c r="L39" i="76"/>
  <c r="D12" i="42"/>
  <c r="K39" i="76"/>
  <c r="E11" i="42"/>
  <c r="J39" i="76"/>
  <c r="D11" i="42"/>
  <c r="E39" i="76"/>
  <c r="E9" i="42"/>
  <c r="D39" i="76"/>
  <c r="D9" i="42"/>
  <c r="AG13" i="76"/>
  <c r="C39" i="79"/>
  <c r="E14" i="42"/>
  <c r="AF13" i="76"/>
  <c r="B39" i="79"/>
  <c r="D14" i="42"/>
  <c r="F39" i="76"/>
  <c r="D10" i="42"/>
  <c r="O39" i="76"/>
  <c r="E19" i="42"/>
  <c r="N39" i="76"/>
  <c r="D19" i="42"/>
  <c r="AY39" i="76"/>
  <c r="E36" i="42"/>
  <c r="AX39" i="76"/>
  <c r="D36" i="42"/>
  <c r="AR39" i="76"/>
  <c r="D33" i="42"/>
  <c r="Z39" i="76"/>
  <c r="D25" i="42"/>
  <c r="S39" i="76"/>
  <c r="E21" i="42"/>
  <c r="AG24" i="76"/>
  <c r="I39" i="79"/>
  <c r="E17" i="42"/>
  <c r="AF24" i="76"/>
  <c r="BB24" i="76" s="1"/>
  <c r="H39" i="79"/>
  <c r="D17" i="42"/>
  <c r="D18" i="42"/>
  <c r="D63" i="42"/>
  <c r="AR40" i="77"/>
  <c r="D62" i="42"/>
  <c r="AP40" i="77"/>
  <c r="D61" i="42"/>
  <c r="AN40" i="77"/>
  <c r="D60" i="42"/>
  <c r="AL40" i="77"/>
  <c r="D59" i="42"/>
  <c r="AJ40" i="77"/>
  <c r="D58" i="42"/>
  <c r="AF40" i="77"/>
  <c r="D56" i="42"/>
  <c r="AD40" i="77"/>
  <c r="D55" i="42"/>
  <c r="AB40" i="77"/>
  <c r="D54" i="42"/>
  <c r="Z40" i="77"/>
  <c r="D53" i="42"/>
  <c r="X40" i="77"/>
  <c r="D51" i="42"/>
  <c r="R40" i="77"/>
  <c r="D48" i="42"/>
  <c r="P40" i="77"/>
  <c r="D47" i="42"/>
  <c r="N40" i="77"/>
  <c r="D46" i="42"/>
  <c r="L40" i="77"/>
  <c r="D45" i="42"/>
  <c r="J40" i="77"/>
  <c r="D44" i="42"/>
  <c r="H40" i="77"/>
  <c r="D43" i="42"/>
  <c r="F40" i="77"/>
  <c r="D42" i="42"/>
  <c r="D40" i="77"/>
  <c r="D41" i="42"/>
  <c r="E63" i="42"/>
  <c r="E62" i="42"/>
  <c r="AQ40" i="77"/>
  <c r="E61" i="42"/>
  <c r="AO40" i="77"/>
  <c r="E60" i="42"/>
  <c r="AM40" i="77"/>
  <c r="E59" i="42"/>
  <c r="AK40" i="77"/>
  <c r="E58" i="42"/>
  <c r="AG40" i="77"/>
  <c r="E56" i="42"/>
  <c r="AE40" i="77"/>
  <c r="E55" i="42"/>
  <c r="AC40" i="77"/>
  <c r="E54" i="42"/>
  <c r="AA40" i="77"/>
  <c r="E53" i="42"/>
  <c r="Y40" i="77"/>
  <c r="E51" i="42"/>
  <c r="S40" i="77"/>
  <c r="E48" i="42"/>
  <c r="Q40" i="77"/>
  <c r="E47" i="42"/>
  <c r="O40" i="77"/>
  <c r="E46" i="42"/>
  <c r="M40" i="77"/>
  <c r="E45" i="42"/>
  <c r="K40" i="77"/>
  <c r="E44" i="42"/>
  <c r="I40" i="77"/>
  <c r="E43" i="42"/>
  <c r="G40" i="77"/>
  <c r="E42" i="42"/>
  <c r="E40" i="77"/>
  <c r="E41" i="42"/>
  <c r="C40" i="77"/>
  <c r="E40" i="42"/>
  <c r="B40" i="77"/>
  <c r="D40" i="42"/>
  <c r="C37" i="75"/>
  <c r="AX23" i="32"/>
  <c r="AZ23" i="32" s="1"/>
  <c r="E27" i="34"/>
  <c r="E24" i="75"/>
  <c r="AW23" i="32"/>
  <c r="AX24" i="77"/>
  <c r="AY24" i="77"/>
  <c r="BA24" i="77"/>
  <c r="BA16" i="31"/>
  <c r="AZ16" i="31"/>
  <c r="AX29" i="32"/>
  <c r="AZ29" i="32"/>
  <c r="E33" i="34" s="1"/>
  <c r="AW29" i="32"/>
  <c r="AY29" i="32" s="1"/>
  <c r="D33" i="34"/>
  <c r="AX3" i="32"/>
  <c r="AW3" i="32"/>
  <c r="AX18" i="32"/>
  <c r="AZ18" i="32"/>
  <c r="E22" i="34"/>
  <c r="AW18" i="32"/>
  <c r="AY18" i="32" s="1"/>
  <c r="D22" i="34"/>
  <c r="D19" i="75" s="1"/>
  <c r="AI32" i="57"/>
  <c r="AI40" i="57" s="1"/>
  <c r="AL32" i="57"/>
  <c r="F35" i="34" s="1"/>
  <c r="F32" i="75" s="1"/>
  <c r="AX31" i="32"/>
  <c r="AZ31" i="32" s="1"/>
  <c r="AY32" i="77"/>
  <c r="AW31" i="32"/>
  <c r="AX32" i="77"/>
  <c r="H16" i="57"/>
  <c r="AL16" i="57" s="1"/>
  <c r="BA15" i="31"/>
  <c r="BA15" i="76" s="1"/>
  <c r="AZ15" i="31"/>
  <c r="AJ9" i="57"/>
  <c r="AM9" i="57" s="1"/>
  <c r="AM40" i="57" s="1"/>
  <c r="AI9" i="57"/>
  <c r="AX14" i="32"/>
  <c r="AZ14" i="32" s="1"/>
  <c r="E18" i="34"/>
  <c r="E15" i="75" s="1"/>
  <c r="AW14" i="32"/>
  <c r="AY14" i="32"/>
  <c r="D18" i="34" s="1"/>
  <c r="BA14" i="31"/>
  <c r="BA14" i="76" s="1"/>
  <c r="AZ14" i="31"/>
  <c r="AY3" i="32"/>
  <c r="AJ40" i="57"/>
  <c r="AL9" i="57"/>
  <c r="F12" i="34" s="1"/>
  <c r="F9" i="75" s="1"/>
  <c r="F19" i="34"/>
  <c r="F16" i="75" s="1"/>
  <c r="H40" i="57"/>
  <c r="BC14" i="76"/>
  <c r="AY19" i="77"/>
  <c r="AY30" i="77"/>
  <c r="BA16" i="76"/>
  <c r="D15" i="75"/>
  <c r="AX15" i="77"/>
  <c r="AZ15" i="76"/>
  <c r="AX19" i="77"/>
  <c r="AX4" i="77"/>
  <c r="AX30" i="77"/>
  <c r="G12" i="34"/>
  <c r="E71" i="42"/>
  <c r="G17" i="92"/>
  <c r="D30" i="75"/>
  <c r="H32" i="75"/>
  <c r="G43" i="34"/>
  <c r="G9" i="75"/>
  <c r="AX28" i="32"/>
  <c r="AY29" i="77" s="1"/>
  <c r="AW28" i="32"/>
  <c r="AW37" i="32"/>
  <c r="AY37" i="32"/>
  <c r="D41" i="34"/>
  <c r="AI31" i="32"/>
  <c r="AY28" i="32"/>
  <c r="E35" i="34"/>
  <c r="AI39" i="32"/>
  <c r="AX38" i="77"/>
  <c r="AI32" i="77"/>
  <c r="BA32" i="77"/>
  <c r="AX29" i="77"/>
  <c r="N29" i="75"/>
  <c r="D32" i="34"/>
  <c r="D29" i="75" s="1"/>
  <c r="M21" i="75"/>
  <c r="N21" i="75"/>
  <c r="E57" i="42"/>
  <c r="AI40" i="77"/>
  <c r="E32" i="75"/>
  <c r="M25" i="75"/>
  <c r="N26" i="75"/>
  <c r="BA24" i="31"/>
  <c r="B101" i="42"/>
  <c r="C101" i="42"/>
  <c r="B81" i="42"/>
  <c r="C81" i="42"/>
  <c r="B65" i="42"/>
  <c r="C65" i="42"/>
  <c r="B18" i="42"/>
  <c r="B38" i="42"/>
  <c r="B102" i="42" s="1"/>
  <c r="C18" i="42"/>
  <c r="C38" i="42"/>
  <c r="C102" i="42" s="1"/>
  <c r="AX37" i="32"/>
  <c r="AZ37" i="32" s="1"/>
  <c r="E41" i="34" s="1"/>
  <c r="AH31" i="32"/>
  <c r="AH32" i="77" s="1"/>
  <c r="BC24" i="31"/>
  <c r="C28" i="34" s="1"/>
  <c r="BA39" i="31"/>
  <c r="E37" i="42"/>
  <c r="AH39" i="32"/>
  <c r="AH40" i="77" s="1"/>
  <c r="AY31" i="32"/>
  <c r="BA24" i="76"/>
  <c r="D35" i="34"/>
  <c r="D57" i="42"/>
  <c r="C10" i="86"/>
  <c r="B10" i="86"/>
  <c r="H16" i="92"/>
  <c r="H18" i="92"/>
  <c r="L18" i="92"/>
  <c r="I18" i="92"/>
  <c r="M18" i="92" s="1"/>
  <c r="H17" i="92"/>
  <c r="D38" i="75"/>
  <c r="N6" i="75"/>
  <c r="C10" i="85"/>
  <c r="I15" i="92"/>
  <c r="H15" i="92"/>
  <c r="B10" i="85"/>
  <c r="I17" i="92"/>
  <c r="I16" i="92"/>
  <c r="I19" i="92"/>
  <c r="H21" i="92"/>
  <c r="G8" i="83"/>
  <c r="B10" i="84"/>
  <c r="G9" i="83"/>
  <c r="C10" i="84"/>
  <c r="I21" i="92"/>
  <c r="C26" i="75"/>
  <c r="C28" i="75"/>
  <c r="B33" i="75"/>
  <c r="C19" i="75"/>
  <c r="B32" i="75"/>
  <c r="BB30" i="76"/>
  <c r="B19" i="75"/>
  <c r="G19" i="92"/>
  <c r="P24" i="34"/>
  <c r="O21" i="75"/>
  <c r="B21" i="75"/>
  <c r="C9" i="75"/>
  <c r="Q12" i="34"/>
  <c r="P8" i="34"/>
  <c r="O5" i="75" s="1"/>
  <c r="B5" i="75"/>
  <c r="B22" i="75"/>
  <c r="B18" i="75"/>
  <c r="P10" i="34"/>
  <c r="O7" i="75"/>
  <c r="B7" i="75"/>
  <c r="C7" i="34"/>
  <c r="C4" i="75" s="1"/>
  <c r="B31" i="75"/>
  <c r="C24" i="75"/>
  <c r="P24" i="75"/>
  <c r="C21" i="75"/>
  <c r="Q24" i="34"/>
  <c r="BC26" i="76"/>
  <c r="Q21" i="34"/>
  <c r="Q39" i="34"/>
  <c r="P36" i="75"/>
  <c r="P11" i="34"/>
  <c r="O8" i="75" s="1"/>
  <c r="AG26" i="76"/>
  <c r="AG7" i="76"/>
  <c r="BC7" i="76"/>
  <c r="AF3" i="76"/>
  <c r="BB3" i="76"/>
  <c r="J40" i="75"/>
  <c r="AJ28" i="80"/>
  <c r="AK23" i="80"/>
  <c r="AJ15" i="80"/>
  <c r="AJ19" i="80"/>
  <c r="BC15" i="31"/>
  <c r="C19" i="34"/>
  <c r="C16" i="75" s="1"/>
  <c r="F4" i="75"/>
  <c r="M4" i="75"/>
  <c r="BB26" i="31"/>
  <c r="B30" i="34" s="1"/>
  <c r="B27" i="75" s="1"/>
  <c r="P17" i="34"/>
  <c r="O14" i="75"/>
  <c r="AG23" i="76"/>
  <c r="BC23" i="76" s="1"/>
  <c r="AG6" i="76"/>
  <c r="BC6" i="76"/>
  <c r="AF35" i="76"/>
  <c r="BB35" i="76"/>
  <c r="AF30" i="76"/>
  <c r="AF15" i="76"/>
  <c r="BB15" i="76"/>
  <c r="AJ26" i="80"/>
  <c r="AJ25" i="80"/>
  <c r="AJ18" i="80"/>
  <c r="AG39" i="31"/>
  <c r="AG39" i="76"/>
  <c r="BB34" i="31"/>
  <c r="B38" i="34"/>
  <c r="B35" i="75"/>
  <c r="BC5" i="31"/>
  <c r="C9" i="34" s="1"/>
  <c r="Q34" i="34"/>
  <c r="P31" i="75" s="1"/>
  <c r="AJ29" i="80"/>
  <c r="AK25" i="80"/>
  <c r="AK18" i="80"/>
  <c r="AJ16" i="80"/>
  <c r="Q26" i="34"/>
  <c r="P23" i="75" s="1"/>
  <c r="P39" i="34"/>
  <c r="O36" i="75" s="1"/>
  <c r="AJ24" i="80"/>
  <c r="AK33" i="80"/>
  <c r="AK31" i="80"/>
  <c r="AK26" i="80"/>
  <c r="AK21" i="80"/>
  <c r="AK20" i="80"/>
  <c r="AJ14" i="80"/>
  <c r="AJ13" i="80"/>
  <c r="AK11" i="80"/>
  <c r="AJ27" i="80"/>
  <c r="AJ7" i="80"/>
  <c r="Q17" i="34"/>
  <c r="P14" i="75"/>
  <c r="K25" i="75"/>
  <c r="L31" i="75"/>
  <c r="AJ31" i="80"/>
  <c r="P33" i="34"/>
  <c r="AK36" i="80"/>
  <c r="AK34" i="80"/>
  <c r="AJ34" i="80"/>
  <c r="AK29" i="80"/>
  <c r="AK28" i="80"/>
  <c r="AK27" i="80"/>
  <c r="AK24" i="80"/>
  <c r="AJ23" i="80"/>
  <c r="AJ22" i="80"/>
  <c r="AJ21" i="80"/>
  <c r="AJ20" i="80"/>
  <c r="AK19" i="80"/>
  <c r="AK16" i="80"/>
  <c r="AK15" i="80"/>
  <c r="AK14" i="80"/>
  <c r="AK13" i="80"/>
  <c r="AJ10" i="80"/>
  <c r="AJ9" i="80"/>
  <c r="AK8" i="80"/>
  <c r="AJ6" i="80"/>
  <c r="P26" i="34"/>
  <c r="O23" i="75"/>
  <c r="Q36" i="34"/>
  <c r="P33" i="75"/>
  <c r="K8" i="75"/>
  <c r="L36" i="75"/>
  <c r="L29" i="75"/>
  <c r="K26" i="75"/>
  <c r="L17" i="75"/>
  <c r="Q23" i="34"/>
  <c r="P20" i="75"/>
  <c r="P32" i="34"/>
  <c r="O29" i="75" s="1"/>
  <c r="Q40" i="34"/>
  <c r="P37" i="75" s="1"/>
  <c r="K35" i="75"/>
  <c r="K19" i="92"/>
  <c r="M19" i="92"/>
  <c r="P30" i="34"/>
  <c r="D32" i="75" l="1"/>
  <c r="P35" i="34"/>
  <c r="O32" i="75" s="1"/>
  <c r="AZ16" i="76"/>
  <c r="BB16" i="31"/>
  <c r="B20" i="34" s="1"/>
  <c r="Q11" i="34"/>
  <c r="P8" i="75" s="1"/>
  <c r="K43" i="34"/>
  <c r="K40" i="75" s="1"/>
  <c r="Q38" i="34"/>
  <c r="P35" i="75" s="1"/>
  <c r="P29" i="34"/>
  <c r="O26" i="75" s="1"/>
  <c r="C6" i="75"/>
  <c r="Q9" i="34"/>
  <c r="P6" i="75" s="1"/>
  <c r="K17" i="92"/>
  <c r="M17" i="92"/>
  <c r="D7" i="34"/>
  <c r="E19" i="75"/>
  <c r="Q22" i="34"/>
  <c r="P19" i="75" s="1"/>
  <c r="AZ3" i="32"/>
  <c r="AY4" i="77"/>
  <c r="AX39" i="32"/>
  <c r="AK35" i="41"/>
  <c r="AK38" i="80" s="1"/>
  <c r="AJ35" i="41"/>
  <c r="AJ38" i="80" s="1"/>
  <c r="M23" i="34"/>
  <c r="J19" i="78"/>
  <c r="J12" i="78"/>
  <c r="M16" i="34"/>
  <c r="J39" i="29"/>
  <c r="J39" i="78" s="1"/>
  <c r="K33" i="75"/>
  <c r="P36" i="34"/>
  <c r="O33" i="75" s="1"/>
  <c r="L7" i="75"/>
  <c r="Q10" i="34"/>
  <c r="P7" i="75" s="1"/>
  <c r="Q41" i="34"/>
  <c r="P38" i="75" s="1"/>
  <c r="E38" i="75"/>
  <c r="N7" i="34"/>
  <c r="K39" i="29"/>
  <c r="K39" i="78" s="1"/>
  <c r="K3" i="78"/>
  <c r="L28" i="75"/>
  <c r="Q31" i="34"/>
  <c r="P28" i="75" s="1"/>
  <c r="AZ8" i="77"/>
  <c r="AZ33" i="77"/>
  <c r="AJ36" i="80"/>
  <c r="AK7" i="80"/>
  <c r="C32" i="75"/>
  <c r="Q35" i="34"/>
  <c r="P32" i="75" s="1"/>
  <c r="P12" i="34"/>
  <c r="O9" i="75" s="1"/>
  <c r="P41" i="34"/>
  <c r="O38" i="75" s="1"/>
  <c r="AY23" i="32"/>
  <c r="D27" i="34" s="1"/>
  <c r="AW39" i="32"/>
  <c r="M28" i="75"/>
  <c r="P31" i="34"/>
  <c r="O28" i="75" s="1"/>
  <c r="L22" i="75"/>
  <c r="Q25" i="34"/>
  <c r="P22" i="75" s="1"/>
  <c r="K19" i="75"/>
  <c r="P22" i="34"/>
  <c r="O19" i="75" s="1"/>
  <c r="AZ39" i="31"/>
  <c r="BB14" i="31"/>
  <c r="B18" i="34" s="1"/>
  <c r="AZ14" i="76"/>
  <c r="AZ37" i="77"/>
  <c r="P38" i="34"/>
  <c r="O35" i="75" s="1"/>
  <c r="L43" i="34"/>
  <c r="L40" i="75" s="1"/>
  <c r="O30" i="75"/>
  <c r="C25" i="75"/>
  <c r="Q28" i="34"/>
  <c r="P25" i="75" s="1"/>
  <c r="E30" i="75"/>
  <c r="Q33" i="34"/>
  <c r="P30" i="75" s="1"/>
  <c r="N13" i="75"/>
  <c r="Q16" i="34"/>
  <c r="P13" i="75" s="1"/>
  <c r="M6" i="75"/>
  <c r="P9" i="34"/>
  <c r="P34" i="34"/>
  <c r="O31" i="75" s="1"/>
  <c r="K31" i="75"/>
  <c r="AZ28" i="32"/>
  <c r="E32" i="34" s="1"/>
  <c r="AY15" i="77"/>
  <c r="BA15" i="77" s="1"/>
  <c r="E18" i="42"/>
  <c r="E38" i="42" s="1"/>
  <c r="D101" i="42"/>
  <c r="D78" i="42"/>
  <c r="D81" i="42" s="1"/>
  <c r="M21" i="34"/>
  <c r="M18" i="75" s="1"/>
  <c r="K14" i="75"/>
  <c r="E101" i="42"/>
  <c r="D21" i="75"/>
  <c r="D13" i="75"/>
  <c r="BA29" i="77"/>
  <c r="BA19" i="77"/>
  <c r="BC3" i="76"/>
  <c r="BC32" i="76"/>
  <c r="BB16" i="76"/>
  <c r="BB14" i="76"/>
  <c r="BB13" i="76"/>
  <c r="P13" i="34"/>
  <c r="O10" i="75" s="1"/>
  <c r="BC39" i="70"/>
  <c r="G40" i="69"/>
  <c r="G40" i="75" s="1"/>
  <c r="G6" i="75"/>
  <c r="M40" i="69"/>
  <c r="O6" i="69"/>
  <c r="P12" i="69"/>
  <c r="E12" i="75"/>
  <c r="D27" i="75"/>
  <c r="O27" i="69"/>
  <c r="O27" i="75" s="1"/>
  <c r="AZ29" i="77"/>
  <c r="G26" i="75"/>
  <c r="Q37" i="34"/>
  <c r="AN40" i="57"/>
  <c r="E70" i="42" s="1"/>
  <c r="E72" i="42" s="1"/>
  <c r="H7" i="34"/>
  <c r="H43" i="34" s="1"/>
  <c r="M43" i="34"/>
  <c r="M40" i="75" s="1"/>
  <c r="B40" i="69"/>
  <c r="C40" i="69"/>
  <c r="BA17" i="77"/>
  <c r="BC28" i="76"/>
  <c r="BC24" i="76"/>
  <c r="BB6" i="76"/>
  <c r="BB37" i="70"/>
  <c r="BB14" i="70"/>
  <c r="BB8" i="70"/>
  <c r="D40" i="69"/>
  <c r="O4" i="69"/>
  <c r="H40" i="69"/>
  <c r="P5" i="69"/>
  <c r="P40" i="69" s="1"/>
  <c r="P9" i="69"/>
  <c r="P9" i="75" s="1"/>
  <c r="O12" i="69"/>
  <c r="O16" i="69"/>
  <c r="O20" i="69"/>
  <c r="BA39" i="70"/>
  <c r="BA39" i="76" s="1"/>
  <c r="AY33" i="77"/>
  <c r="BA33" i="77" s="1"/>
  <c r="AU32" i="72"/>
  <c r="BA4" i="77"/>
  <c r="BA14" i="77"/>
  <c r="AZ30" i="77"/>
  <c r="BA26" i="77"/>
  <c r="BA21" i="77"/>
  <c r="AK10" i="80"/>
  <c r="BC25" i="76"/>
  <c r="BC18" i="76"/>
  <c r="AZ21" i="77"/>
  <c r="AX16" i="77"/>
  <c r="AZ16" i="77" s="1"/>
  <c r="AY15" i="32"/>
  <c r="D19" i="34" s="1"/>
  <c r="D16" i="75" s="1"/>
  <c r="J21" i="79"/>
  <c r="F26" i="75"/>
  <c r="C35" i="75"/>
  <c r="Q8" i="34"/>
  <c r="P5" i="75" s="1"/>
  <c r="AL17" i="57"/>
  <c r="H24" i="75"/>
  <c r="F22" i="75"/>
  <c r="H8" i="75"/>
  <c r="AU27" i="72"/>
  <c r="AU39" i="72" s="1"/>
  <c r="AU40" i="77" s="1"/>
  <c r="AY28" i="77"/>
  <c r="BA28" i="77" s="1"/>
  <c r="AZ4" i="77"/>
  <c r="AZ15" i="77"/>
  <c r="AZ27" i="77"/>
  <c r="AZ19" i="77"/>
  <c r="AZ36" i="77"/>
  <c r="BB37" i="76"/>
  <c r="BB32" i="76"/>
  <c r="BB31" i="76"/>
  <c r="BC30" i="76"/>
  <c r="BB26" i="76"/>
  <c r="BB18" i="76"/>
  <c r="BC16" i="76"/>
  <c r="BC13" i="76"/>
  <c r="BC12" i="76"/>
  <c r="BC4" i="76"/>
  <c r="AZ15" i="32"/>
  <c r="E19" i="34" s="1"/>
  <c r="AY16" i="77"/>
  <c r="B38" i="75"/>
  <c r="C30" i="75"/>
  <c r="Q15" i="34"/>
  <c r="P12" i="75" s="1"/>
  <c r="P14" i="34"/>
  <c r="H36" i="75"/>
  <c r="H18" i="75"/>
  <c r="BB3" i="31"/>
  <c r="AF39" i="31"/>
  <c r="AF39" i="76" s="1"/>
  <c r="B30" i="75"/>
  <c r="AG27" i="76"/>
  <c r="BC27" i="76" s="1"/>
  <c r="BB24" i="31"/>
  <c r="B28" i="34" s="1"/>
  <c r="BC16" i="31"/>
  <c r="C20" i="34" s="1"/>
  <c r="BB15" i="31"/>
  <c r="B19" i="34" s="1"/>
  <c r="B6" i="75"/>
  <c r="D31" i="75"/>
  <c r="D14" i="75"/>
  <c r="D8" i="75"/>
  <c r="E25" i="75"/>
  <c r="C20" i="75"/>
  <c r="E9" i="75"/>
  <c r="BB6" i="70"/>
  <c r="BB39" i="70" s="1"/>
  <c r="AZ39" i="70"/>
  <c r="AZ18" i="77"/>
  <c r="BA16" i="77"/>
  <c r="AZ12" i="77"/>
  <c r="BA8" i="77"/>
  <c r="BA6" i="77"/>
  <c r="BA30" i="77"/>
  <c r="AZ28" i="77"/>
  <c r="AZ24" i="77"/>
  <c r="AZ22" i="77"/>
  <c r="K30" i="79"/>
  <c r="BB36" i="76"/>
  <c r="BB27" i="76"/>
  <c r="BB25" i="76"/>
  <c r="J15" i="79"/>
  <c r="C31" i="75"/>
  <c r="P15" i="34"/>
  <c r="O12" i="75" s="1"/>
  <c r="B9" i="75"/>
  <c r="H12" i="75"/>
  <c r="AG31" i="76"/>
  <c r="AF17" i="76"/>
  <c r="BB17" i="76" s="1"/>
  <c r="C8" i="75"/>
  <c r="BC26" i="31"/>
  <c r="C30" i="34" s="1"/>
  <c r="E33" i="75"/>
  <c r="E22" i="75"/>
  <c r="BB22" i="76"/>
  <c r="AG34" i="76"/>
  <c r="BC34" i="76" s="1"/>
  <c r="AF22" i="76"/>
  <c r="BC14" i="31"/>
  <c r="C14" i="75"/>
  <c r="AF7" i="76"/>
  <c r="BB7" i="76" s="1"/>
  <c r="P37" i="34"/>
  <c r="AF23" i="76"/>
  <c r="BB23" i="76" s="1"/>
  <c r="D7" i="75"/>
  <c r="E20" i="75"/>
  <c r="BC31" i="76"/>
  <c r="C38" i="75"/>
  <c r="BB36" i="31"/>
  <c r="B40" i="34" s="1"/>
  <c r="AF34" i="76"/>
  <c r="BB34" i="76" s="1"/>
  <c r="B29" i="75"/>
  <c r="B28" i="75"/>
  <c r="C22" i="75"/>
  <c r="C18" i="75"/>
  <c r="AG15" i="76"/>
  <c r="BC15" i="76" s="1"/>
  <c r="Q14" i="34"/>
  <c r="Q13" i="34"/>
  <c r="P10" i="75" s="1"/>
  <c r="C7" i="75"/>
  <c r="AG5" i="76"/>
  <c r="BC5" i="76" s="1"/>
  <c r="D17" i="75"/>
  <c r="D9" i="75"/>
  <c r="U6" i="92"/>
  <c r="T6" i="92"/>
  <c r="C9" i="85" l="1"/>
  <c r="G15" i="92"/>
  <c r="C27" i="75"/>
  <c r="Q30" i="34"/>
  <c r="P27" i="75" s="1"/>
  <c r="C18" i="34"/>
  <c r="BC39" i="31"/>
  <c r="BC39" i="76" s="1"/>
  <c r="C8" i="88"/>
  <c r="G20" i="92"/>
  <c r="F20" i="92"/>
  <c r="B8" i="88"/>
  <c r="M13" i="75"/>
  <c r="P16" i="34"/>
  <c r="O13" i="75" s="1"/>
  <c r="AY39" i="32"/>
  <c r="AZ40" i="77" s="1"/>
  <c r="B17" i="75"/>
  <c r="P19" i="34"/>
  <c r="O16" i="75" s="1"/>
  <c r="B16" i="75"/>
  <c r="F20" i="34"/>
  <c r="P20" i="34" s="1"/>
  <c r="O17" i="75" s="1"/>
  <c r="AL40" i="57"/>
  <c r="D71" i="42" s="1"/>
  <c r="P21" i="34"/>
  <c r="O18" i="75" s="1"/>
  <c r="D64" i="42"/>
  <c r="D65" i="42" s="1"/>
  <c r="AX40" i="77"/>
  <c r="E7" i="34"/>
  <c r="AZ39" i="32"/>
  <c r="BA40" i="77" s="1"/>
  <c r="D4" i="75"/>
  <c r="D43" i="34"/>
  <c r="D40" i="75" s="1"/>
  <c r="C17" i="75"/>
  <c r="Q20" i="34"/>
  <c r="P17" i="75" s="1"/>
  <c r="H40" i="75"/>
  <c r="P18" i="34"/>
  <c r="O15" i="75" s="1"/>
  <c r="B15" i="75"/>
  <c r="D24" i="75"/>
  <c r="P27" i="34"/>
  <c r="O24" i="75" s="1"/>
  <c r="B37" i="75"/>
  <c r="P40" i="34"/>
  <c r="O37" i="75" s="1"/>
  <c r="B25" i="75"/>
  <c r="P28" i="34"/>
  <c r="O25" i="75" s="1"/>
  <c r="B7" i="34"/>
  <c r="BB39" i="31"/>
  <c r="BB39" i="76" s="1"/>
  <c r="E16" i="75"/>
  <c r="Q19" i="34"/>
  <c r="P16" i="75" s="1"/>
  <c r="O40" i="69"/>
  <c r="F19" i="92"/>
  <c r="B8" i="87"/>
  <c r="Q32" i="34"/>
  <c r="P29" i="75" s="1"/>
  <c r="E29" i="75"/>
  <c r="O6" i="75"/>
  <c r="D37" i="42"/>
  <c r="D38" i="42" s="1"/>
  <c r="AZ39" i="76"/>
  <c r="N4" i="75"/>
  <c r="N43" i="34"/>
  <c r="N40" i="75" s="1"/>
  <c r="M20" i="75"/>
  <c r="P23" i="34"/>
  <c r="O20" i="75" s="1"/>
  <c r="E64" i="42"/>
  <c r="E65" i="42" s="1"/>
  <c r="E102" i="42" s="1"/>
  <c r="AY40" i="77"/>
  <c r="C9" i="84" l="1"/>
  <c r="F9" i="83"/>
  <c r="G21" i="92"/>
  <c r="J19" i="92"/>
  <c r="L19" i="92"/>
  <c r="E43" i="34"/>
  <c r="E40" i="75" s="1"/>
  <c r="E4" i="75"/>
  <c r="Q7" i="34"/>
  <c r="D72" i="42"/>
  <c r="F17" i="92"/>
  <c r="B43" i="34"/>
  <c r="B40" i="75" s="1"/>
  <c r="B4" i="75"/>
  <c r="P7" i="34"/>
  <c r="F17" i="75"/>
  <c r="F43" i="34"/>
  <c r="F40" i="75" s="1"/>
  <c r="M15" i="92"/>
  <c r="K15" i="92"/>
  <c r="B9" i="86"/>
  <c r="F16" i="92"/>
  <c r="L20" i="92"/>
  <c r="J20" i="92"/>
  <c r="C15" i="75"/>
  <c r="Q18" i="34"/>
  <c r="P15" i="75" s="1"/>
  <c r="C43" i="34"/>
  <c r="C40" i="75" s="1"/>
  <c r="G16" i="92"/>
  <c r="C9" i="86"/>
  <c r="D102" i="42"/>
  <c r="F15" i="92"/>
  <c r="B9" i="85"/>
  <c r="K20" i="92"/>
  <c r="M20" i="92"/>
  <c r="J15" i="92" l="1"/>
  <c r="L15" i="92"/>
  <c r="Q43" i="34"/>
  <c r="P40" i="75" s="1"/>
  <c r="P4" i="75"/>
  <c r="F21" i="92"/>
  <c r="F8" i="83"/>
  <c r="B9" i="84"/>
  <c r="M21" i="92"/>
  <c r="K21" i="92"/>
  <c r="J16" i="92"/>
  <c r="L16" i="92"/>
  <c r="J17" i="92"/>
  <c r="L17" i="92"/>
  <c r="I9" i="83"/>
  <c r="H9" i="83"/>
  <c r="K16" i="92"/>
  <c r="M16" i="92"/>
  <c r="O4" i="75"/>
  <c r="P43" i="34"/>
  <c r="O40" i="75" s="1"/>
  <c r="I8" i="83" l="1"/>
  <c r="H8" i="83"/>
  <c r="J21" i="92"/>
  <c r="L21" i="92"/>
</calcChain>
</file>

<file path=xl/comments1.xml><?xml version="1.0" encoding="utf-8"?>
<comments xmlns="http://schemas.openxmlformats.org/spreadsheetml/2006/main">
  <authors>
    <author>Horticulture</author>
    <author xml:space="preserve">HORTICULTURE </author>
  </authors>
  <commentList>
    <comment ref="N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Pervious Data 
Now not given</t>
        </r>
      </text>
    </comment>
    <comment ref="Q14" authorId="1">
      <text>
        <r>
          <rPr>
            <b/>
            <sz val="8"/>
            <color indexed="81"/>
            <rFont val="Tahoma"/>
            <family val="2"/>
          </rPr>
          <t>HORTICULTURE :</t>
        </r>
        <r>
          <rPr>
            <sz val="8"/>
            <color indexed="81"/>
            <rFont val="Tahoma"/>
            <family val="2"/>
          </rPr>
          <t xml:space="preserve">
Rev. Fig.recd.vide Letter No. 10171/SA Dated 26/08/2013</t>
        </r>
      </text>
    </comment>
    <comment ref="AJ1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Pear as a New Plant</t>
        </r>
      </text>
    </comment>
    <comment ref="Z19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Now not given pervious data repeted.</t>
        </r>
      </text>
    </comment>
    <comment ref="AN19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Now not given pervious data repeted. (12-13 Final)</t>
        </r>
      </text>
    </comment>
    <comment ref="AW24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Estimate. Therefore 2013-14 1st Est. repeated.</t>
        </r>
      </text>
    </comment>
  </commentList>
</comments>
</file>

<file path=xl/comments10.xml><?xml version="1.0" encoding="utf-8"?>
<comments xmlns="http://schemas.openxmlformats.org/spreadsheetml/2006/main">
  <authors>
    <author>Horticulture</author>
  </authors>
  <commentList>
    <comment ref="AL9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Pervious data now not given</t>
        </r>
      </text>
    </comment>
    <comment ref="Y29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Estimates. Therefore 2013-14 1st Estimates repeated.</t>
        </r>
      </text>
    </comment>
  </commentList>
</comments>
</file>

<file path=xl/comments11.xml><?xml version="1.0" encoding="utf-8"?>
<comments xmlns="http://schemas.openxmlformats.org/spreadsheetml/2006/main">
  <authors>
    <author>Horticulture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Only area given by the state. Therefore 2013-14 1st Est.figures repeated.</t>
        </r>
      </text>
    </comment>
  </commentList>
</comments>
</file>

<file path=xl/comments2.xml><?xml version="1.0" encoding="utf-8"?>
<comments xmlns="http://schemas.openxmlformats.org/spreadsheetml/2006/main">
  <authors>
    <author>Horticulture</author>
  </authors>
  <commentList>
    <comment ref="E1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Mandarin Orange's as Nomilal </t>
        </r>
      </text>
    </comment>
  </commentList>
</comments>
</file>

<file path=xl/comments3.xml><?xml version="1.0" encoding="utf-8"?>
<comments xmlns="http://schemas.openxmlformats.org/spreadsheetml/2006/main">
  <authors>
    <author>Horticulture</author>
  </authors>
  <commentList>
    <comment ref="AL8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Pervious data now not given</t>
        </r>
      </text>
    </comment>
    <comment ref="Y28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Estimates. Therefore 2013-14 1st Estimates repeated.</t>
        </r>
      </text>
    </comment>
  </commentList>
</comments>
</file>

<file path=xl/comments4.xml><?xml version="1.0" encoding="utf-8"?>
<comments xmlns="http://schemas.openxmlformats.org/spreadsheetml/2006/main">
  <authors>
    <author>Horticulture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Only area given by the state. Therefore 2013-14 1st Est.figures repeated.</t>
        </r>
      </text>
    </comment>
  </commentList>
</comments>
</file>

<file path=xl/comments5.xml><?xml version="1.0" encoding="utf-8"?>
<comments xmlns="http://schemas.openxmlformats.org/spreadsheetml/2006/main">
  <authors>
    <author xml:space="preserve">HORTICULTURE </author>
    <author>Horticulture</author>
  </authors>
  <commentList>
    <comment ref="Q14" authorId="0">
      <text>
        <r>
          <rPr>
            <b/>
            <sz val="8"/>
            <color indexed="81"/>
            <rFont val="Tahoma"/>
            <family val="2"/>
          </rPr>
          <t>HORTICULTURE :</t>
        </r>
        <r>
          <rPr>
            <sz val="8"/>
            <color indexed="81"/>
            <rFont val="Tahoma"/>
            <family val="2"/>
          </rPr>
          <t xml:space="preserve">
Rev. Fig.recd.vide Letter No. 10171/SA Dated 26/08/2013</t>
        </r>
      </text>
    </comment>
    <comment ref="AW24" authorId="1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Estimate. Therefore 2013-14 1st Est. repeated.</t>
        </r>
      </text>
    </comment>
  </commentList>
</comments>
</file>

<file path=xl/comments6.xml><?xml version="1.0" encoding="utf-8"?>
<comments xmlns="http://schemas.openxmlformats.org/spreadsheetml/2006/main">
  <authors>
    <author>Horticulture</author>
  </authors>
  <commentList>
    <comment ref="U28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Estimates. Therefore 2013-14 1st Estimates repeated.</t>
        </r>
      </text>
    </comment>
  </commentList>
</comments>
</file>

<file path=xl/comments7.xml><?xml version="1.0" encoding="utf-8"?>
<comments xmlns="http://schemas.openxmlformats.org/spreadsheetml/2006/main">
  <authors>
    <author>Horticulture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Only area given by the state. Therefore 2013-14 1st Est.figures repeated.</t>
        </r>
      </text>
    </comment>
  </commentList>
</comments>
</file>

<file path=xl/comments8.xml><?xml version="1.0" encoding="utf-8"?>
<comments xmlns="http://schemas.openxmlformats.org/spreadsheetml/2006/main">
  <authors>
    <author>Horticulture</author>
    <author xml:space="preserve">HORTICULTURE </author>
  </authors>
  <commentList>
    <comment ref="N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Pervious Data 
Now not given</t>
        </r>
      </text>
    </comment>
    <comment ref="Q14" authorId="1">
      <text>
        <r>
          <rPr>
            <b/>
            <sz val="8"/>
            <color indexed="81"/>
            <rFont val="Tahoma"/>
            <family val="2"/>
          </rPr>
          <t>HORTICULTURE :</t>
        </r>
        <r>
          <rPr>
            <sz val="8"/>
            <color indexed="81"/>
            <rFont val="Tahoma"/>
            <family val="2"/>
          </rPr>
          <t xml:space="preserve">
Rev. Fig.recd.vide Letter No. 10171/SA Dated 26/08/2013</t>
        </r>
      </text>
    </comment>
    <comment ref="AJ1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Pear as a New Plant</t>
        </r>
      </text>
    </comment>
    <comment ref="Z19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Now not given pervious data repeted.</t>
        </r>
      </text>
    </comment>
    <comment ref="AN19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Now not given pervious data repeted. (12-13 Final)</t>
        </r>
      </text>
    </comment>
    <comment ref="AW24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No data given for 2nd Estimate. Therefore 2013-14 1st Est. repeated.</t>
        </r>
      </text>
    </comment>
  </commentList>
</comments>
</file>

<file path=xl/comments9.xml><?xml version="1.0" encoding="utf-8"?>
<comments xmlns="http://schemas.openxmlformats.org/spreadsheetml/2006/main">
  <authors>
    <author>Horticulture</author>
  </authors>
  <commentList>
    <comment ref="E17" authorId="0">
      <text>
        <r>
          <rPr>
            <b/>
            <sz val="8"/>
            <color indexed="81"/>
            <rFont val="Tahoma"/>
            <family val="2"/>
          </rPr>
          <t>Horticulture:</t>
        </r>
        <r>
          <rPr>
            <sz val="8"/>
            <color indexed="81"/>
            <rFont val="Tahoma"/>
            <family val="2"/>
          </rPr>
          <t xml:space="preserve">
Mandarin Orange's as Nomilal </t>
        </r>
      </text>
    </comment>
  </commentList>
</comments>
</file>

<file path=xl/sharedStrings.xml><?xml version="1.0" encoding="utf-8"?>
<sst xmlns="http://schemas.openxmlformats.org/spreadsheetml/2006/main" count="2038" uniqueCount="304">
  <si>
    <t>APPLE</t>
  </si>
  <si>
    <t>BANANA</t>
  </si>
  <si>
    <t>GUAVA</t>
  </si>
  <si>
    <t>LITCHI</t>
  </si>
  <si>
    <t>MANGO</t>
  </si>
  <si>
    <t>PAPAYA</t>
  </si>
  <si>
    <t>PINEAPPLE</t>
  </si>
  <si>
    <t>SAPOTA</t>
  </si>
  <si>
    <t>OTHERS</t>
  </si>
  <si>
    <t>TOTAL</t>
  </si>
  <si>
    <t>P</t>
  </si>
  <si>
    <t>ANDAMAN NICOBAR</t>
  </si>
  <si>
    <t>ANDHRA PRADESH</t>
  </si>
  <si>
    <t>ARUNACHAL PRADESH</t>
  </si>
  <si>
    <t>ASSAM</t>
  </si>
  <si>
    <t>BIHAR</t>
  </si>
  <si>
    <t>D &amp; N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</si>
  <si>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</si>
  <si>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</si>
  <si>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</si>
  <si>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</si>
  <si>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</si>
  <si>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</si>
  <si>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</si>
  <si>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</si>
  <si>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</si>
  <si>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</si>
  <si>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</si>
  <si>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</si>
  <si>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</si>
  <si>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</si>
  <si>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</si>
  <si>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</si>
  <si>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</si>
  <si>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</si>
  <si>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</si>
  <si>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</si>
  <si>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</si>
  <si>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</si>
  <si>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 xml:space="preserve"> </t>
  </si>
  <si>
    <t>WEST BENGAL</t>
  </si>
  <si>
    <t>BRINJAL</t>
  </si>
  <si>
    <t>CABBAGE</t>
  </si>
  <si>
    <t>PEAS</t>
  </si>
  <si>
    <t>TOMATO</t>
  </si>
  <si>
    <t>ONION</t>
  </si>
  <si>
    <t>POTATO</t>
  </si>
  <si>
    <t>TAPIOCA</t>
  </si>
  <si>
    <t>A</t>
  </si>
  <si>
    <t>Cashewnut</t>
  </si>
  <si>
    <t>Arecanut</t>
  </si>
  <si>
    <t>Cocoa</t>
  </si>
  <si>
    <t>Coconut</t>
  </si>
  <si>
    <t>Total</t>
  </si>
  <si>
    <t>ANDAMAN &amp; NICOBAR</t>
  </si>
  <si>
    <t>CHHATTISGARH</t>
  </si>
  <si>
    <t>LAKSHADWEEP</t>
  </si>
  <si>
    <t>TAMILNADU</t>
  </si>
  <si>
    <t>FRUITS</t>
  </si>
  <si>
    <t>FLOWERS</t>
  </si>
  <si>
    <t xml:space="preserve">AROMATIC </t>
  </si>
  <si>
    <t>SPICES</t>
  </si>
  <si>
    <t>LOOSE</t>
  </si>
  <si>
    <t>CUT</t>
  </si>
  <si>
    <t>Crops</t>
  </si>
  <si>
    <t>Fruits</t>
  </si>
  <si>
    <t>Mango</t>
  </si>
  <si>
    <t>Apple</t>
  </si>
  <si>
    <t>Banana</t>
  </si>
  <si>
    <t>Guava</t>
  </si>
  <si>
    <t>Grapes</t>
  </si>
  <si>
    <t>Papaya</t>
  </si>
  <si>
    <t>Pineapple</t>
  </si>
  <si>
    <t>Pomegranate</t>
  </si>
  <si>
    <t>Sapota</t>
  </si>
  <si>
    <t>Others</t>
  </si>
  <si>
    <t>Vegetables</t>
  </si>
  <si>
    <t>Potato</t>
  </si>
  <si>
    <t>Onion</t>
  </si>
  <si>
    <t>Tomato</t>
  </si>
  <si>
    <t>Brinjal</t>
  </si>
  <si>
    <t>Cabbage</t>
  </si>
  <si>
    <t>Cauliflower</t>
  </si>
  <si>
    <t>Peas</t>
  </si>
  <si>
    <t>Tapioca</t>
  </si>
  <si>
    <t>Sweet Potato</t>
  </si>
  <si>
    <t>Aromatic</t>
  </si>
  <si>
    <t>Flowers Loose</t>
  </si>
  <si>
    <t>Plantation Crops</t>
  </si>
  <si>
    <t>Spices</t>
  </si>
  <si>
    <t>UTTARAKHAND</t>
  </si>
  <si>
    <t>ALMOND</t>
  </si>
  <si>
    <t>BAEL</t>
  </si>
  <si>
    <t>BER</t>
  </si>
  <si>
    <t>CUSTARD APPLE</t>
  </si>
  <si>
    <t>GRAPES</t>
  </si>
  <si>
    <t>JACK FRUIT</t>
  </si>
  <si>
    <t>KIWI</t>
  </si>
  <si>
    <t>PASSION FRUIT</t>
  </si>
  <si>
    <t>TOTAL CITRUS</t>
  </si>
  <si>
    <t>PEACH</t>
  </si>
  <si>
    <t>PEAR</t>
  </si>
  <si>
    <t>PICANUT</t>
  </si>
  <si>
    <t>PLUM</t>
  </si>
  <si>
    <t>POMEGRANATE</t>
  </si>
  <si>
    <t>STRAWBERRY</t>
  </si>
  <si>
    <t>WALNUT</t>
  </si>
  <si>
    <t>OTHER FRUITS</t>
  </si>
  <si>
    <t>TOTAL FRUITS</t>
  </si>
  <si>
    <t>LIME/LEMON</t>
  </si>
  <si>
    <t>OTHER CITRUS</t>
  </si>
  <si>
    <t>ARUNCHAL PRADESH</t>
  </si>
  <si>
    <t>BEANS</t>
  </si>
  <si>
    <t>CAPSICUM</t>
  </si>
  <si>
    <t>CARROT</t>
  </si>
  <si>
    <t>CAULIFLOWER</t>
  </si>
  <si>
    <t>CUCUMBER</t>
  </si>
  <si>
    <t>MUSKMELON</t>
  </si>
  <si>
    <t>RADISH</t>
  </si>
  <si>
    <t>SITAPHAL/PUMPKIN</t>
  </si>
  <si>
    <t>SWEET POTATO</t>
  </si>
  <si>
    <t>WATERMELON</t>
  </si>
  <si>
    <t>ARECANUT</t>
  </si>
  <si>
    <t>CASHEWNUT</t>
  </si>
  <si>
    <t>COCOA</t>
  </si>
  <si>
    <t>COCONUT</t>
  </si>
  <si>
    <t>Pepper</t>
  </si>
  <si>
    <t>Ginger</t>
  </si>
  <si>
    <t>Turmeric</t>
  </si>
  <si>
    <t>Garlic</t>
  </si>
  <si>
    <t>Cardamom</t>
  </si>
  <si>
    <t>Coriander</t>
  </si>
  <si>
    <t>Cumin</t>
  </si>
  <si>
    <t>Fennel</t>
  </si>
  <si>
    <t>Ajwan</t>
  </si>
  <si>
    <t>Nutmeg</t>
  </si>
  <si>
    <t>Clove</t>
  </si>
  <si>
    <t>Tamarind</t>
  </si>
  <si>
    <t>Ber</t>
  </si>
  <si>
    <t xml:space="preserve">Citrus </t>
  </si>
  <si>
    <t>(i)   Lime/Lemon</t>
  </si>
  <si>
    <t>(iv) Others</t>
  </si>
  <si>
    <t>Citrus Total (i to iv)</t>
  </si>
  <si>
    <t>Kiwi</t>
  </si>
  <si>
    <t>Litchi</t>
  </si>
  <si>
    <t>Peach</t>
  </si>
  <si>
    <t>Pear</t>
  </si>
  <si>
    <t>Plum</t>
  </si>
  <si>
    <t>Walnut</t>
  </si>
  <si>
    <t>Almond</t>
  </si>
  <si>
    <t>Total Fruits</t>
  </si>
  <si>
    <t>Beans</t>
  </si>
  <si>
    <t>Capsicum</t>
  </si>
  <si>
    <t>Carrot</t>
  </si>
  <si>
    <t>Cucumber</t>
  </si>
  <si>
    <t>Muskmelon</t>
  </si>
  <si>
    <t>Radish</t>
  </si>
  <si>
    <t>Watermelon</t>
  </si>
  <si>
    <t>Chillies (Dried)</t>
  </si>
  <si>
    <t>Cinnamon/Tejpata</t>
  </si>
  <si>
    <t>Vanilla</t>
  </si>
  <si>
    <t xml:space="preserve">KARNATAKA </t>
  </si>
  <si>
    <t>(ii) Mandarin</t>
  </si>
  <si>
    <t>(iii) Sweet Orange(  Mosambi)</t>
  </si>
  <si>
    <t>Jackfruit</t>
  </si>
  <si>
    <t>Custardapple</t>
  </si>
  <si>
    <t>Celery,Dill &amp; Poppy</t>
  </si>
  <si>
    <t>PUDUCHERRY</t>
  </si>
  <si>
    <t>ANTHURIUM</t>
  </si>
  <si>
    <t>CARNATION</t>
  </si>
  <si>
    <t>CHRYSANTHEMUM</t>
  </si>
  <si>
    <t>GERBERA</t>
  </si>
  <si>
    <t>JASMINE</t>
  </si>
  <si>
    <t>MARIGOLD</t>
  </si>
  <si>
    <t>ORCHIDS</t>
  </si>
  <si>
    <t>ROSE</t>
  </si>
  <si>
    <t>TUBE ROSE</t>
  </si>
  <si>
    <t>TULIP</t>
  </si>
  <si>
    <t>TOTAL  FLOWERS</t>
  </si>
  <si>
    <t xml:space="preserve">LOOSE </t>
  </si>
  <si>
    <t>Spices : Directorate of  Arecanut &amp; Spices Development</t>
  </si>
  <si>
    <t>SWEET ORANGE(MALTA , MOSAMBI)</t>
  </si>
  <si>
    <t>Fruits, Vegetables, Flowers, Aromatic/Medicinal Plants  - State Directorates of Horticulture</t>
  </si>
  <si>
    <t>Chillies</t>
  </si>
  <si>
    <t xml:space="preserve">Dill / Poppy /Celery </t>
  </si>
  <si>
    <t>Cinnamon /Tejpat</t>
  </si>
  <si>
    <t>Saffron / Vanilla</t>
  </si>
  <si>
    <t>BITTERGOURD</t>
  </si>
  <si>
    <t>BOTTLEGOURD</t>
  </si>
  <si>
    <t>ODISHA</t>
  </si>
  <si>
    <t>Area and Production of Horticulture Crops - All India</t>
  </si>
  <si>
    <t>Passion Fruit</t>
  </si>
  <si>
    <t xml:space="preserve">Source: </t>
  </si>
  <si>
    <t>Coconut : State Directorate of Horticulture.</t>
  </si>
  <si>
    <t>Arecanut : Directorate of Arecanut &amp; Spices Development (DASD)</t>
  </si>
  <si>
    <t>Cocoa : Directorate of Cashewnut &amp; Cocoa Development (DCCD)</t>
  </si>
  <si>
    <t>Cashewnt : Directorate of Cashewnut &amp; Cocoa Development (DCCD) for all States except A&amp;N, Gujrat and Mizoram.</t>
  </si>
  <si>
    <t>CHHATISGARH</t>
  </si>
  <si>
    <t>Bittergourd</t>
  </si>
  <si>
    <t>Bottlegourd</t>
  </si>
  <si>
    <t xml:space="preserve">CHHATTISGARH </t>
  </si>
  <si>
    <t xml:space="preserve">RAJASTHAN </t>
  </si>
  <si>
    <t xml:space="preserve">STATES/UTs </t>
  </si>
  <si>
    <t xml:space="preserve">Area </t>
  </si>
  <si>
    <t>Production</t>
  </si>
  <si>
    <t>Final</t>
  </si>
  <si>
    <t>2012-13</t>
  </si>
  <si>
    <t xml:space="preserve">2013-14 </t>
  </si>
  <si>
    <t>Area in '000 Ha</t>
  </si>
  <si>
    <t>Production in '000 MT</t>
  </si>
  <si>
    <t>Plantation Crops:- Coconut (State Directorate of Horticulture), Arecanut (Directorate Arecanut &amp; Spice Dev), Cashew &amp; Cocoa (Directorate of Cashew  &amp; Cocoa Development) and State Directorate of Horticulture.</t>
  </si>
  <si>
    <t xml:space="preserve">ARUNACHAL PRADESH </t>
  </si>
  <si>
    <t>Note: Shaded cells indicate negligible figures</t>
  </si>
  <si>
    <t>AONLA/
GOOSEBERRY</t>
  </si>
  <si>
    <t>OKRA/LADYFINGER</t>
  </si>
  <si>
    <t>PARWAL/
POINTED GOURD</t>
  </si>
  <si>
    <t>Fenugreek</t>
  </si>
  <si>
    <t>VEGETABLES</t>
  </si>
  <si>
    <t>PLANTATION CROPS</t>
  </si>
  <si>
    <t>MANDARIN(M.ORANGE ,KINNOW,ORANGE)</t>
  </si>
  <si>
    <t>Aonla/Gooseberry</t>
  </si>
  <si>
    <t>Okra/Ladyfinger</t>
  </si>
  <si>
    <t xml:space="preserve">JAMMU &amp; KASHMIR </t>
  </si>
  <si>
    <t>(Final)</t>
  </si>
  <si>
    <t>STATE/UTs</t>
  </si>
  <si>
    <t>In case of Andhra Pradesh, Gujarat, Arunachal Pradesh,  Uttarakhand, Lakshadweep, Nagaland and Tripura figures for 2013-14 (2nd est.)  repeated due to non availability of 2013-14(3rd est.) figures.</t>
  </si>
  <si>
    <t>GLADIOLUS</t>
  </si>
  <si>
    <t>Note: From 2013-14 (3rd adv. Est.), Cut Flower Production is being given in '000 MT as compared to earlier reporting in Lakh Numbers.</t>
  </si>
  <si>
    <t>Flowers Cut</t>
  </si>
  <si>
    <t>Picanut</t>
  </si>
  <si>
    <t>Strawberry</t>
  </si>
  <si>
    <t>Mushroom</t>
  </si>
  <si>
    <t>Chillies (Green)</t>
  </si>
  <si>
    <t>Elephant Foot Yam</t>
  </si>
  <si>
    <t>Parwal/Pointed gourd</t>
  </si>
  <si>
    <t>Pumpkin/Sitaphal/Kaddu</t>
  </si>
  <si>
    <t>Honey</t>
  </si>
  <si>
    <t>HONEY</t>
  </si>
  <si>
    <t>CHILLIES 
(GREEN)</t>
  </si>
  <si>
    <t>ELEPHANT 
FOOT YAM</t>
  </si>
  <si>
    <t>MUSHROOM</t>
  </si>
  <si>
    <t>TELANGANA</t>
  </si>
  <si>
    <t>Comp. 4th-3rd 2013-14</t>
  </si>
  <si>
    <t>MANDARIN(M.ORANG,           KINNOW,ORANGE)</t>
  </si>
  <si>
    <t>OKRA/ LADYFINGER</t>
  </si>
  <si>
    <t>STATE/UT'S</t>
  </si>
  <si>
    <t>Total Horticulture Crops</t>
  </si>
  <si>
    <t>Year</t>
  </si>
  <si>
    <t>Area
(in Million Hectre)</t>
  </si>
  <si>
    <t>Production
(in Million Tonne)</t>
  </si>
  <si>
    <t>2011-12</t>
  </si>
  <si>
    <t>2013-14
(1st est)</t>
  </si>
  <si>
    <t>2013-14
(2nd est)</t>
  </si>
  <si>
    <t>2013-14
(3rd est)</t>
  </si>
  <si>
    <t>Fruit Crops</t>
  </si>
  <si>
    <t>Vegetable Crops</t>
  </si>
  <si>
    <t>Top Five Horticulture Producing States - 2013-14(3rd  Est.)</t>
  </si>
  <si>
    <t>% Share</t>
  </si>
  <si>
    <t>Top Five Vegetables Producing States-2013-14(3rd est.)</t>
  </si>
  <si>
    <t>VEG.</t>
  </si>
  <si>
    <t>ALL INDIA</t>
  </si>
  <si>
    <t>(Area in ‘000 Ha, Production in ‘000 MT)</t>
  </si>
  <si>
    <t>ALL India</t>
  </si>
  <si>
    <t>2012-13 (Final)</t>
  </si>
  <si>
    <t>2013-14</t>
  </si>
  <si>
    <t xml:space="preserve">% change of 3rd  est. of 2013-14 w.r.t. </t>
  </si>
  <si>
    <t>First Estimate</t>
  </si>
  <si>
    <t>Second</t>
  </si>
  <si>
    <t>Third</t>
  </si>
  <si>
    <t>Estimate</t>
  </si>
  <si>
    <t>(1st Est.)</t>
  </si>
  <si>
    <t>(2nd Est.)</t>
  </si>
  <si>
    <t>Area</t>
  </si>
  <si>
    <t>(Area in ‘000 Hectare)</t>
  </si>
  <si>
    <t>(Production in ‘000 MT)</t>
  </si>
  <si>
    <t>Major category of Hort. Crops</t>
  </si>
  <si>
    <t>Final Estimates</t>
  </si>
  <si>
    <t>3rd adv. est.</t>
  </si>
  <si>
    <t>Prod.</t>
  </si>
  <si>
    <t>Flowers</t>
  </si>
  <si>
    <t>Productivity
(in MT/Ha</t>
  </si>
  <si>
    <t>2013-14
(Final)</t>
  </si>
  <si>
    <t>2014-15
(1st est)</t>
  </si>
  <si>
    <t>ELEPHANT FOOT YAM</t>
  </si>
  <si>
    <t xml:space="preserve">I </t>
  </si>
  <si>
    <t xml:space="preserve">II </t>
  </si>
  <si>
    <t xml:space="preserve">III </t>
  </si>
  <si>
    <t>2012-13
(Final)</t>
  </si>
  <si>
    <t>2013-14 Estimates</t>
  </si>
  <si>
    <t>2014-15</t>
  </si>
  <si>
    <r>
      <t>% change of 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</rPr>
      <t xml:space="preserve"> est. of 2014-15 w.r.t. 2013-14 final estimate</t>
    </r>
  </si>
  <si>
    <t>First est.</t>
  </si>
  <si>
    <t>Absolute change in 
2013-14(Final) over 2012-13</t>
  </si>
  <si>
    <t>Absolute change in 
2014-15(1st est.) over 2013-14 (Final)</t>
  </si>
  <si>
    <t>% change of final estimates of 2013-14 w.r.t. 2012-13</t>
  </si>
  <si>
    <t>Area and Production of Horticulture Crops</t>
  </si>
  <si>
    <t>In case of Lakshadweep and Puducherry, figures for 2013-14 (3rd est.)  repeated due to non availability of 2013-14(Final) figures.</t>
  </si>
  <si>
    <t>Horticulture Crops</t>
  </si>
  <si>
    <t>Total Vegetables</t>
  </si>
  <si>
    <t>Total Flowers</t>
  </si>
  <si>
    <t>Total Plantation</t>
  </si>
  <si>
    <t>Total Spices</t>
  </si>
  <si>
    <t>Area and Production of Horticulture Crops 2013-14</t>
  </si>
  <si>
    <t>Note : Area in '000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</si>
</sst>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0.000"/>
    <numFmt numFmtId="173" formatCode="0.0"/>
    <numFmt numFmtId="174" formatCode="0.0%"/>
  </numFmts>
  <fonts count="6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color indexed="8"/>
      <name val="Arial"/>
      <family val="2"/>
    </font>
    <font>
      <b/>
      <u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mbria"/>
      <family val="1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52">
    <xf numFmtId="0" fontId="0" fillId="0" borderId="0" xfId="0"/>
    <xf numFmtId="2" fontId="25" fillId="25" borderId="10" xfId="52" applyNumberFormat="1" applyFont="1" applyFill="1" applyBorder="1" applyAlignment="1"/>
    <xf numFmtId="172" fontId="48" fillId="25" borderId="10" xfId="0" applyNumberFormat="1" applyFont="1" applyFill="1" applyBorder="1"/>
    <xf numFmtId="172" fontId="49" fillId="25" borderId="0" xfId="0" applyNumberFormat="1" applyFont="1" applyFill="1"/>
    <xf numFmtId="172" fontId="48" fillId="25" borderId="10" xfId="37" applyNumberFormat="1" applyFont="1" applyFill="1" applyBorder="1" applyAlignment="1">
      <alignment horizontal="center"/>
    </xf>
    <xf numFmtId="172" fontId="48" fillId="25" borderId="10" xfId="37" applyNumberFormat="1" applyFont="1" applyFill="1" applyBorder="1"/>
    <xf numFmtId="172" fontId="49" fillId="25" borderId="10" xfId="0" applyNumberFormat="1" applyFont="1" applyFill="1" applyBorder="1"/>
    <xf numFmtId="172" fontId="48" fillId="25" borderId="10" xfId="48" applyNumberFormat="1" applyFont="1" applyFill="1" applyBorder="1"/>
    <xf numFmtId="172" fontId="49" fillId="25" borderId="10" xfId="0" applyNumberFormat="1" applyFont="1" applyFill="1" applyBorder="1" applyAlignment="1">
      <alignment horizontal="right"/>
    </xf>
    <xf numFmtId="172" fontId="26" fillId="25" borderId="10" xfId="37" applyNumberFormat="1" applyFont="1" applyFill="1" applyBorder="1" applyAlignment="1">
      <alignment horizontal="center"/>
    </xf>
    <xf numFmtId="172" fontId="26" fillId="25" borderId="11" xfId="0" applyNumberFormat="1" applyFont="1" applyFill="1" applyBorder="1" applyAlignment="1">
      <alignment horizontal="center"/>
    </xf>
    <xf numFmtId="172" fontId="26" fillId="25" borderId="10" xfId="37" applyNumberFormat="1" applyFont="1" applyFill="1" applyBorder="1"/>
    <xf numFmtId="172" fontId="27" fillId="25" borderId="10" xfId="0" applyNumberFormat="1" applyFont="1" applyFill="1" applyBorder="1"/>
    <xf numFmtId="172" fontId="26" fillId="25" borderId="10" xfId="0" applyNumberFormat="1" applyFont="1" applyFill="1" applyBorder="1"/>
    <xf numFmtId="172" fontId="26" fillId="25" borderId="10" xfId="48" applyNumberFormat="1" applyFont="1" applyFill="1" applyBorder="1"/>
    <xf numFmtId="172" fontId="50" fillId="25" borderId="10" xfId="0" applyNumberFormat="1" applyFont="1" applyFill="1" applyBorder="1" applyAlignment="1">
      <alignment horizontal="right"/>
    </xf>
    <xf numFmtId="172" fontId="48" fillId="25" borderId="10" xfId="58" applyNumberFormat="1" applyFont="1" applyFill="1" applyBorder="1"/>
    <xf numFmtId="2" fontId="51" fillId="25" borderId="10" xfId="52" applyNumberFormat="1" applyFont="1" applyFill="1" applyBorder="1" applyAlignment="1">
      <alignment wrapText="1"/>
    </xf>
    <xf numFmtId="2" fontId="52" fillId="25" borderId="12" xfId="52" applyNumberFormat="1" applyFont="1" applyFill="1" applyBorder="1" applyAlignment="1">
      <alignment horizontal="center" wrapText="1"/>
    </xf>
    <xf numFmtId="2" fontId="52" fillId="25" borderId="11" xfId="52" applyNumberFormat="1" applyFont="1" applyFill="1" applyBorder="1" applyAlignment="1">
      <alignment horizontal="center" wrapText="1"/>
    </xf>
    <xf numFmtId="2" fontId="51" fillId="25" borderId="11" xfId="52" applyNumberFormat="1" applyFont="1" applyFill="1" applyBorder="1" applyAlignment="1">
      <alignment horizontal="center" wrapText="1"/>
    </xf>
    <xf numFmtId="2" fontId="51" fillId="25" borderId="12" xfId="52" applyNumberFormat="1" applyFont="1" applyFill="1" applyBorder="1" applyAlignment="1"/>
    <xf numFmtId="2" fontId="51" fillId="25" borderId="11" xfId="52" applyNumberFormat="1" applyFont="1" applyFill="1" applyBorder="1" applyAlignment="1"/>
    <xf numFmtId="2" fontId="51" fillId="25" borderId="10" xfId="52" applyNumberFormat="1" applyFont="1" applyFill="1" applyBorder="1" applyAlignment="1"/>
    <xf numFmtId="2" fontId="52" fillId="25" borderId="10" xfId="0" applyNumberFormat="1" applyFont="1" applyFill="1" applyBorder="1" applyAlignment="1"/>
    <xf numFmtId="2" fontId="51" fillId="25" borderId="10" xfId="0" applyNumberFormat="1" applyFont="1" applyFill="1" applyBorder="1" applyAlignment="1"/>
    <xf numFmtId="1" fontId="53" fillId="0" borderId="0" xfId="0" applyNumberFormat="1" applyFont="1" applyBorder="1" applyAlignment="1"/>
    <xf numFmtId="1" fontId="49" fillId="0" borderId="13" xfId="0" applyNumberFormat="1" applyFont="1" applyBorder="1" applyAlignment="1">
      <alignment vertical="center"/>
    </xf>
    <xf numFmtId="1" fontId="49" fillId="0" borderId="10" xfId="0" applyNumberFormat="1" applyFont="1" applyBorder="1" applyAlignment="1">
      <alignment vertical="center"/>
    </xf>
    <xf numFmtId="1" fontId="48" fillId="0" borderId="10" xfId="0" applyNumberFormat="1" applyFont="1" applyBorder="1" applyAlignment="1">
      <alignment vertical="center"/>
    </xf>
    <xf numFmtId="1" fontId="48" fillId="0" borderId="0" xfId="0" applyNumberFormat="1" applyFont="1" applyBorder="1" applyAlignment="1">
      <alignment vertical="center"/>
    </xf>
    <xf numFmtId="1" fontId="49" fillId="0" borderId="0" xfId="0" applyNumberFormat="1" applyFont="1" applyBorder="1"/>
    <xf numFmtId="1" fontId="48" fillId="24" borderId="10" xfId="53" applyNumberFormat="1" applyFont="1" applyFill="1" applyBorder="1" applyAlignment="1"/>
    <xf numFmtId="1" fontId="48" fillId="24" borderId="10" xfId="53" applyNumberFormat="1" applyFont="1" applyFill="1" applyBorder="1" applyAlignment="1">
      <alignment vertical="center"/>
    </xf>
    <xf numFmtId="1" fontId="53" fillId="24" borderId="10" xfId="53" applyNumberFormat="1" applyFont="1" applyFill="1" applyBorder="1" applyAlignment="1">
      <alignment vertical="center"/>
    </xf>
    <xf numFmtId="1" fontId="48" fillId="24" borderId="10" xfId="53" applyNumberFormat="1" applyFont="1" applyFill="1" applyBorder="1" applyAlignment="1">
      <alignment horizontal="center" vertical="center"/>
    </xf>
    <xf numFmtId="1" fontId="49" fillId="24" borderId="13" xfId="53" applyNumberFormat="1" applyFont="1" applyFill="1" applyBorder="1" applyAlignment="1">
      <alignment vertical="center"/>
    </xf>
    <xf numFmtId="1" fontId="49" fillId="0" borderId="13" xfId="0" applyNumberFormat="1" applyFont="1" applyBorder="1"/>
    <xf numFmtId="1" fontId="49" fillId="0" borderId="0" xfId="0" applyNumberFormat="1" applyFont="1"/>
    <xf numFmtId="1" fontId="49" fillId="24" borderId="10" xfId="53" applyNumberFormat="1" applyFont="1" applyFill="1" applyBorder="1" applyAlignment="1">
      <alignment vertical="center"/>
    </xf>
    <xf numFmtId="1" fontId="49" fillId="0" borderId="10" xfId="0" applyNumberFormat="1" applyFont="1" applyBorder="1"/>
    <xf numFmtId="1" fontId="54" fillId="24" borderId="10" xfId="53" applyNumberFormat="1" applyFont="1" applyFill="1" applyBorder="1" applyAlignment="1">
      <alignment vertical="center"/>
    </xf>
    <xf numFmtId="1" fontId="48" fillId="0" borderId="10" xfId="0" applyNumberFormat="1" applyFont="1" applyBorder="1"/>
    <xf numFmtId="1" fontId="49" fillId="24" borderId="10" xfId="53" applyNumberFormat="1" applyFont="1" applyFill="1" applyBorder="1" applyAlignment="1">
      <alignment horizontal="right" vertical="center"/>
    </xf>
    <xf numFmtId="1" fontId="55" fillId="24" borderId="10" xfId="53" applyNumberFormat="1" applyFont="1" applyFill="1" applyBorder="1" applyAlignment="1">
      <alignment horizontal="left" vertical="center"/>
    </xf>
    <xf numFmtId="1" fontId="55" fillId="24" borderId="10" xfId="53" applyNumberFormat="1" applyFont="1" applyFill="1" applyBorder="1" applyAlignment="1">
      <alignment vertical="center"/>
    </xf>
    <xf numFmtId="1" fontId="48" fillId="24" borderId="10" xfId="37" applyNumberFormat="1" applyFont="1" applyFill="1" applyBorder="1" applyAlignment="1">
      <alignment horizontal="left" vertical="center"/>
    </xf>
    <xf numFmtId="1" fontId="49" fillId="24" borderId="10" xfId="53" applyNumberFormat="1" applyFont="1" applyFill="1" applyBorder="1" applyAlignment="1">
      <alignment horizontal="left" vertical="center"/>
    </xf>
    <xf numFmtId="1" fontId="48" fillId="24" borderId="0" xfId="53" applyNumberFormat="1" applyFont="1" applyFill="1" applyBorder="1" applyAlignment="1">
      <alignment horizontal="left" vertical="center"/>
    </xf>
    <xf numFmtId="1" fontId="49" fillId="0" borderId="0" xfId="0" applyNumberFormat="1" applyFont="1" applyAlignment="1">
      <alignment vertical="center"/>
    </xf>
    <xf numFmtId="1" fontId="48" fillId="24" borderId="0" xfId="52" applyNumberFormat="1" applyFont="1" applyFill="1" applyBorder="1" applyAlignment="1">
      <alignment vertical="center"/>
    </xf>
    <xf numFmtId="1" fontId="48" fillId="0" borderId="0" xfId="0" applyNumberFormat="1" applyFont="1" applyAlignment="1">
      <alignment vertical="center"/>
    </xf>
    <xf numFmtId="2" fontId="51" fillId="25" borderId="14" xfId="52" applyNumberFormat="1" applyFont="1" applyFill="1" applyBorder="1" applyAlignment="1">
      <alignment horizontal="center" wrapText="1"/>
    </xf>
    <xf numFmtId="2" fontId="51" fillId="25" borderId="10" xfId="52" applyNumberFormat="1" applyFont="1" applyFill="1" applyBorder="1" applyAlignment="1">
      <alignment horizontal="center" wrapText="1"/>
    </xf>
    <xf numFmtId="172" fontId="48" fillId="25" borderId="10" xfId="0" applyNumberFormat="1" applyFont="1" applyFill="1" applyBorder="1" applyAlignment="1">
      <alignment horizontal="center"/>
    </xf>
    <xf numFmtId="172" fontId="26" fillId="25" borderId="10" xfId="0" applyNumberFormat="1" applyFont="1" applyFill="1" applyBorder="1" applyAlignment="1">
      <alignment horizontal="center"/>
    </xf>
    <xf numFmtId="172" fontId="48" fillId="25" borderId="10" xfId="0" applyNumberFormat="1" applyFont="1" applyFill="1" applyBorder="1" applyAlignment="1">
      <alignment horizontal="center" vertical="top"/>
    </xf>
    <xf numFmtId="172" fontId="50" fillId="25" borderId="10" xfId="0" applyNumberFormat="1" applyFont="1" applyFill="1" applyBorder="1" applyAlignment="1">
      <alignment horizontal="center"/>
    </xf>
    <xf numFmtId="2" fontId="25" fillId="25" borderId="10" xfId="52" applyNumberFormat="1" applyFont="1" applyFill="1" applyBorder="1" applyAlignment="1">
      <alignment wrapText="1"/>
    </xf>
    <xf numFmtId="2" fontId="22" fillId="25" borderId="0" xfId="0" applyNumberFormat="1" applyFont="1" applyFill="1" applyAlignment="1"/>
    <xf numFmtId="2" fontId="25" fillId="25" borderId="10" xfId="52" applyNumberFormat="1" applyFont="1" applyFill="1" applyBorder="1" applyAlignment="1">
      <alignment horizontal="center" wrapText="1"/>
    </xf>
    <xf numFmtId="2" fontId="25" fillId="25" borderId="14" xfId="52" applyNumberFormat="1" applyFont="1" applyFill="1" applyBorder="1" applyAlignment="1">
      <alignment horizontal="center" wrapText="1"/>
    </xf>
    <xf numFmtId="2" fontId="28" fillId="25" borderId="12" xfId="52" applyNumberFormat="1" applyFont="1" applyFill="1" applyBorder="1" applyAlignment="1">
      <alignment horizontal="center" wrapText="1"/>
    </xf>
    <xf numFmtId="2" fontId="28" fillId="25" borderId="11" xfId="52" applyNumberFormat="1" applyFont="1" applyFill="1" applyBorder="1" applyAlignment="1">
      <alignment horizontal="center" wrapText="1"/>
    </xf>
    <xf numFmtId="2" fontId="25" fillId="25" borderId="11" xfId="52" applyNumberFormat="1" applyFont="1" applyFill="1" applyBorder="1" applyAlignment="1">
      <alignment horizontal="center" wrapText="1"/>
    </xf>
    <xf numFmtId="2" fontId="25" fillId="25" borderId="12" xfId="52" applyNumberFormat="1" applyFont="1" applyFill="1" applyBorder="1" applyAlignment="1"/>
    <xf numFmtId="2" fontId="25" fillId="25" borderId="11" xfId="52" applyNumberFormat="1" applyFont="1" applyFill="1" applyBorder="1" applyAlignment="1"/>
    <xf numFmtId="2" fontId="28" fillId="25" borderId="10" xfId="0" applyNumberFormat="1" applyFont="1" applyFill="1" applyBorder="1" applyAlignment="1"/>
    <xf numFmtId="2" fontId="25" fillId="25" borderId="10" xfId="0" applyNumberFormat="1" applyFont="1" applyFill="1" applyBorder="1" applyAlignment="1"/>
    <xf numFmtId="2" fontId="21" fillId="25" borderId="0" xfId="52" applyNumberFormat="1" applyFont="1" applyFill="1" applyBorder="1" applyAlignment="1"/>
    <xf numFmtId="2" fontId="22" fillId="25" borderId="0" xfId="52" applyNumberFormat="1" applyFont="1" applyFill="1" applyBorder="1" applyAlignment="1"/>
    <xf numFmtId="2" fontId="22" fillId="25" borderId="0" xfId="52" applyNumberFormat="1" applyFont="1" applyFill="1" applyBorder="1" applyAlignment="1">
      <alignment wrapText="1"/>
    </xf>
    <xf numFmtId="2" fontId="21" fillId="25" borderId="0" xfId="52" applyNumberFormat="1" applyFont="1" applyFill="1" applyBorder="1" applyAlignment="1">
      <alignment horizontal="left"/>
    </xf>
    <xf numFmtId="2" fontId="21" fillId="25" borderId="0" xfId="0" applyNumberFormat="1" applyFont="1" applyFill="1" applyAlignment="1"/>
    <xf numFmtId="2" fontId="25" fillId="25" borderId="10" xfId="0" applyNumberFormat="1" applyFont="1" applyFill="1" applyBorder="1" applyAlignment="1">
      <alignment horizontal="center"/>
    </xf>
    <xf numFmtId="2" fontId="28" fillId="25" borderId="0" xfId="0" applyNumberFormat="1" applyFont="1" applyFill="1"/>
    <xf numFmtId="2" fontId="25" fillId="25" borderId="10" xfId="37" applyNumberFormat="1" applyFont="1" applyFill="1" applyBorder="1" applyAlignment="1">
      <alignment horizontal="center"/>
    </xf>
    <xf numFmtId="2" fontId="25" fillId="25" borderId="10" xfId="37" applyNumberFormat="1" applyFont="1" applyFill="1" applyBorder="1"/>
    <xf numFmtId="2" fontId="28" fillId="25" borderId="10" xfId="0" applyNumberFormat="1" applyFont="1" applyFill="1" applyBorder="1"/>
    <xf numFmtId="2" fontId="25" fillId="25" borderId="10" xfId="0" applyNumberFormat="1" applyFont="1" applyFill="1" applyBorder="1"/>
    <xf numFmtId="2" fontId="25" fillId="25" borderId="10" xfId="49" applyNumberFormat="1" applyFont="1" applyFill="1" applyBorder="1"/>
    <xf numFmtId="2" fontId="25" fillId="25" borderId="10" xfId="58" applyNumberFormat="1" applyFont="1" applyFill="1" applyBorder="1"/>
    <xf numFmtId="2" fontId="28" fillId="26" borderId="10" xfId="0" applyNumberFormat="1" applyFont="1" applyFill="1" applyBorder="1"/>
    <xf numFmtId="2" fontId="28" fillId="25" borderId="10" xfId="0" applyNumberFormat="1" applyFont="1" applyFill="1" applyBorder="1" applyAlignment="1">
      <alignment horizontal="right"/>
    </xf>
    <xf numFmtId="2" fontId="29" fillId="25" borderId="0" xfId="0" applyNumberFormat="1" applyFont="1" applyFill="1"/>
    <xf numFmtId="2" fontId="25" fillId="25" borderId="11" xfId="0" applyNumberFormat="1" applyFont="1" applyFill="1" applyBorder="1" applyAlignment="1">
      <alignment horizontal="center"/>
    </xf>
    <xf numFmtId="2" fontId="30" fillId="25" borderId="10" xfId="37" applyNumberFormat="1" applyFont="1" applyFill="1" applyBorder="1"/>
    <xf numFmtId="2" fontId="30" fillId="25" borderId="10" xfId="49" applyNumberFormat="1" applyFont="1" applyFill="1" applyBorder="1"/>
    <xf numFmtId="2" fontId="30" fillId="25" borderId="10" xfId="58" applyNumberFormat="1" applyFont="1" applyFill="1" applyBorder="1"/>
    <xf numFmtId="2" fontId="28" fillId="25" borderId="0" xfId="0" applyNumberFormat="1" applyFont="1" applyFill="1" applyBorder="1"/>
    <xf numFmtId="2" fontId="29" fillId="25" borderId="10" xfId="0" applyNumberFormat="1" applyFont="1" applyFill="1" applyBorder="1"/>
    <xf numFmtId="2" fontId="29" fillId="25" borderId="10" xfId="0" applyNumberFormat="1" applyFont="1" applyFill="1" applyBorder="1" applyAlignment="1">
      <alignment horizontal="right"/>
    </xf>
    <xf numFmtId="2" fontId="30" fillId="25" borderId="10" xfId="0" applyNumberFormat="1" applyFont="1" applyFill="1" applyBorder="1"/>
    <xf numFmtId="2" fontId="56" fillId="25" borderId="10" xfId="0" applyNumberFormat="1" applyFont="1" applyFill="1" applyBorder="1"/>
    <xf numFmtId="2" fontId="30" fillId="25" borderId="0" xfId="0" applyNumberFormat="1" applyFont="1" applyFill="1"/>
    <xf numFmtId="2" fontId="31" fillId="25" borderId="10" xfId="0" applyNumberFormat="1" applyFont="1" applyFill="1" applyBorder="1"/>
    <xf numFmtId="2" fontId="29" fillId="25" borderId="10" xfId="0" applyNumberFormat="1" applyFont="1" applyFill="1" applyBorder="1" applyAlignment="1">
      <alignment horizontal="left"/>
    </xf>
    <xf numFmtId="2" fontId="30" fillId="25" borderId="10" xfId="0" applyNumberFormat="1" applyFont="1" applyFill="1" applyBorder="1" applyAlignment="1"/>
    <xf numFmtId="2" fontId="32" fillId="25" borderId="0" xfId="0" applyNumberFormat="1" applyFont="1" applyFill="1"/>
    <xf numFmtId="2" fontId="30" fillId="25" borderId="0" xfId="0" applyNumberFormat="1" applyFont="1" applyFill="1" applyAlignment="1">
      <alignment horizontal="left"/>
    </xf>
    <xf numFmtId="2" fontId="30" fillId="25" borderId="0" xfId="0" applyNumberFormat="1" applyFont="1" applyFill="1" applyAlignment="1"/>
    <xf numFmtId="2" fontId="29" fillId="25" borderId="0" xfId="0" applyNumberFormat="1" applyFont="1" applyFill="1" applyAlignment="1">
      <alignment horizontal="left"/>
    </xf>
    <xf numFmtId="2" fontId="33" fillId="25" borderId="10" xfId="0" applyNumberFormat="1" applyFont="1" applyFill="1" applyBorder="1" applyAlignment="1">
      <alignment horizontal="center"/>
    </xf>
    <xf numFmtId="2" fontId="34" fillId="25" borderId="10" xfId="0" applyNumberFormat="1" applyFont="1" applyFill="1" applyBorder="1" applyAlignment="1">
      <alignment horizontal="right"/>
    </xf>
    <xf numFmtId="0" fontId="0" fillId="25" borderId="0" xfId="0" applyFill="1"/>
    <xf numFmtId="172" fontId="48" fillId="25" borderId="10" xfId="52" applyNumberFormat="1" applyFont="1" applyFill="1" applyBorder="1" applyAlignment="1"/>
    <xf numFmtId="172" fontId="26" fillId="25" borderId="10" xfId="58" applyNumberFormat="1" applyFont="1" applyFill="1" applyBorder="1"/>
    <xf numFmtId="172" fontId="26" fillId="25" borderId="10" xfId="52" applyNumberFormat="1" applyFont="1" applyFill="1" applyBorder="1" applyAlignment="1"/>
    <xf numFmtId="173" fontId="26" fillId="25" borderId="10" xfId="0" applyNumberFormat="1" applyFont="1" applyFill="1" applyBorder="1" applyAlignment="1">
      <alignment horizontal="center"/>
    </xf>
    <xf numFmtId="173" fontId="0" fillId="25" borderId="0" xfId="0" applyNumberFormat="1" applyFill="1"/>
    <xf numFmtId="173" fontId="26" fillId="25" borderId="10" xfId="37" applyNumberFormat="1" applyFont="1" applyFill="1" applyBorder="1" applyAlignment="1">
      <alignment horizontal="center"/>
    </xf>
    <xf numFmtId="173" fontId="26" fillId="25" borderId="10" xfId="37" applyNumberFormat="1" applyFont="1" applyFill="1" applyBorder="1"/>
    <xf numFmtId="173" fontId="27" fillId="25" borderId="10" xfId="0" applyNumberFormat="1" applyFont="1" applyFill="1" applyBorder="1"/>
    <xf numFmtId="173" fontId="26" fillId="25" borderId="10" xfId="0" applyNumberFormat="1" applyFont="1" applyFill="1" applyBorder="1"/>
    <xf numFmtId="173" fontId="26" fillId="25" borderId="10" xfId="48" applyNumberFormat="1" applyFont="1" applyFill="1" applyBorder="1"/>
    <xf numFmtId="173" fontId="26" fillId="25" borderId="10" xfId="58" applyNumberFormat="1" applyFont="1" applyFill="1" applyBorder="1"/>
    <xf numFmtId="173" fontId="26" fillId="25" borderId="10" xfId="52" applyNumberFormat="1" applyFont="1" applyFill="1" applyBorder="1" applyAlignment="1"/>
    <xf numFmtId="0" fontId="35" fillId="25" borderId="0" xfId="0" applyFont="1" applyFill="1"/>
    <xf numFmtId="1" fontId="49" fillId="24" borderId="10" xfId="37" applyNumberFormat="1" applyFont="1" applyFill="1" applyBorder="1" applyAlignment="1">
      <alignment vertical="center"/>
    </xf>
    <xf numFmtId="2" fontId="57" fillId="25" borderId="10" xfId="52" applyNumberFormat="1" applyFont="1" applyFill="1" applyBorder="1" applyAlignment="1">
      <alignment wrapText="1"/>
    </xf>
    <xf numFmtId="2" fontId="57" fillId="25" borderId="14" xfId="52" applyNumberFormat="1" applyFont="1" applyFill="1" applyBorder="1" applyAlignment="1">
      <alignment horizontal="center" wrapText="1"/>
    </xf>
    <xf numFmtId="2" fontId="58" fillId="25" borderId="0" xfId="0" applyNumberFormat="1" applyFont="1" applyFill="1" applyAlignment="1"/>
    <xf numFmtId="2" fontId="57" fillId="25" borderId="10" xfId="52" applyNumberFormat="1" applyFont="1" applyFill="1" applyBorder="1" applyAlignment="1">
      <alignment horizontal="center" wrapText="1"/>
    </xf>
    <xf numFmtId="2" fontId="58" fillId="25" borderId="12" xfId="52" applyNumberFormat="1" applyFont="1" applyFill="1" applyBorder="1" applyAlignment="1">
      <alignment horizontal="center" wrapText="1"/>
    </xf>
    <xf numFmtId="2" fontId="58" fillId="25" borderId="11" xfId="52" applyNumberFormat="1" applyFont="1" applyFill="1" applyBorder="1" applyAlignment="1">
      <alignment horizontal="center" wrapText="1"/>
    </xf>
    <xf numFmtId="2" fontId="57" fillId="25" borderId="11" xfId="52" applyNumberFormat="1" applyFont="1" applyFill="1" applyBorder="1" applyAlignment="1">
      <alignment horizontal="center" wrapText="1"/>
    </xf>
    <xf numFmtId="2" fontId="57" fillId="25" borderId="12" xfId="52" applyNumberFormat="1" applyFont="1" applyFill="1" applyBorder="1" applyAlignment="1"/>
    <xf numFmtId="2" fontId="57" fillId="25" borderId="11" xfId="52" applyNumberFormat="1" applyFont="1" applyFill="1" applyBorder="1" applyAlignment="1"/>
    <xf numFmtId="2" fontId="57" fillId="25" borderId="10" xfId="52" applyNumberFormat="1" applyFont="1" applyFill="1" applyBorder="1" applyAlignment="1"/>
    <xf numFmtId="2" fontId="58" fillId="25" borderId="10" xfId="0" applyNumberFormat="1" applyFont="1" applyFill="1" applyBorder="1" applyAlignment="1"/>
    <xf numFmtId="2" fontId="57" fillId="25" borderId="10" xfId="0" applyNumberFormat="1" applyFont="1" applyFill="1" applyBorder="1" applyAlignment="1"/>
    <xf numFmtId="2" fontId="57" fillId="25" borderId="0" xfId="52" applyNumberFormat="1" applyFont="1" applyFill="1" applyBorder="1" applyAlignment="1"/>
    <xf numFmtId="2" fontId="58" fillId="25" borderId="0" xfId="52" applyNumberFormat="1" applyFont="1" applyFill="1" applyBorder="1" applyAlignment="1"/>
    <xf numFmtId="2" fontId="58" fillId="25" borderId="0" xfId="52" applyNumberFormat="1" applyFont="1" applyFill="1" applyBorder="1" applyAlignment="1">
      <alignment wrapText="1"/>
    </xf>
    <xf numFmtId="2" fontId="57" fillId="25" borderId="0" xfId="52" applyNumberFormat="1" applyFont="1" applyFill="1" applyBorder="1" applyAlignment="1">
      <alignment horizontal="left"/>
    </xf>
    <xf numFmtId="2" fontId="57" fillId="25" borderId="0" xfId="0" applyNumberFormat="1" applyFont="1" applyFill="1" applyAlignment="1"/>
    <xf numFmtId="2" fontId="25" fillId="25" borderId="10" xfId="52" applyNumberFormat="1" applyFont="1" applyFill="1" applyBorder="1" applyAlignment="1">
      <alignment horizontal="center" wrapText="1"/>
    </xf>
    <xf numFmtId="0" fontId="35" fillId="0" borderId="10" xfId="0" applyFont="1" applyBorder="1"/>
    <xf numFmtId="0" fontId="35" fillId="0" borderId="10" xfId="0" applyFont="1" applyBorder="1" applyAlignment="1">
      <alignment wrapText="1"/>
    </xf>
    <xf numFmtId="0" fontId="14" fillId="0" borderId="10" xfId="0" applyFont="1" applyBorder="1"/>
    <xf numFmtId="1" fontId="14" fillId="0" borderId="10" xfId="0" applyNumberFormat="1" applyFont="1" applyBorder="1"/>
    <xf numFmtId="1" fontId="0" fillId="0" borderId="10" xfId="0" applyNumberFormat="1" applyBorder="1"/>
    <xf numFmtId="173" fontId="14" fillId="0" borderId="10" xfId="0" applyNumberFormat="1" applyFont="1" applyBorder="1"/>
    <xf numFmtId="0" fontId="1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73" fontId="0" fillId="0" borderId="10" xfId="0" applyNumberFormat="1" applyBorder="1"/>
    <xf numFmtId="2" fontId="0" fillId="0" borderId="10" xfId="0" applyNumberFormat="1" applyBorder="1"/>
    <xf numFmtId="0" fontId="35" fillId="0" borderId="0" xfId="0" applyFont="1"/>
    <xf numFmtId="0" fontId="35" fillId="0" borderId="10" xfId="0" applyFont="1" applyBorder="1" applyAlignment="1">
      <alignment horizontal="center"/>
    </xf>
    <xf numFmtId="174" fontId="0" fillId="0" borderId="0" xfId="0" applyNumberFormat="1"/>
    <xf numFmtId="173" fontId="0" fillId="0" borderId="0" xfId="0" applyNumberFormat="1"/>
    <xf numFmtId="2" fontId="21" fillId="25" borderId="10" xfId="52" applyNumberFormat="1" applyFont="1" applyFill="1" applyBorder="1" applyAlignment="1">
      <alignment wrapText="1"/>
    </xf>
    <xf numFmtId="2" fontId="21" fillId="25" borderId="10" xfId="52" applyNumberFormat="1" applyFont="1" applyFill="1" applyBorder="1" applyAlignment="1">
      <alignment horizontal="center" wrapText="1"/>
    </xf>
    <xf numFmtId="0" fontId="0" fillId="0" borderId="10" xfId="0" applyBorder="1"/>
    <xf numFmtId="2" fontId="21" fillId="25" borderId="10" xfId="52" applyNumberFormat="1" applyFont="1" applyFill="1" applyBorder="1" applyAlignment="1"/>
    <xf numFmtId="1" fontId="22" fillId="0" borderId="0" xfId="0" applyNumberFormat="1" applyFont="1"/>
    <xf numFmtId="0" fontId="59" fillId="0" borderId="10" xfId="0" applyFont="1" applyBorder="1" applyAlignment="1">
      <alignment horizontal="center" vertical="top" wrapText="1"/>
    </xf>
    <xf numFmtId="0" fontId="59" fillId="27" borderId="10" xfId="0" applyFont="1" applyFill="1" applyBorder="1" applyAlignment="1">
      <alignment horizontal="center" wrapText="1"/>
    </xf>
    <xf numFmtId="0" fontId="59" fillId="27" borderId="10" xfId="0" applyFont="1" applyFill="1" applyBorder="1" applyAlignment="1">
      <alignment horizontal="justify"/>
    </xf>
    <xf numFmtId="0" fontId="60" fillId="0" borderId="10" xfId="0" applyFont="1" applyBorder="1" applyAlignment="1">
      <alignment horizontal="right"/>
    </xf>
    <xf numFmtId="1" fontId="60" fillId="0" borderId="10" xfId="0" applyNumberFormat="1" applyFont="1" applyBorder="1" applyAlignment="1">
      <alignment horizontal="right"/>
    </xf>
    <xf numFmtId="10" fontId="61" fillId="0" borderId="10" xfId="0" applyNumberFormat="1" applyFont="1" applyBorder="1" applyAlignment="1">
      <alignment horizontal="right"/>
    </xf>
    <xf numFmtId="172" fontId="0" fillId="0" borderId="10" xfId="0" applyNumberFormat="1" applyBorder="1"/>
    <xf numFmtId="0" fontId="61" fillId="0" borderId="0" xfId="0" applyFont="1" applyAlignment="1">
      <alignment horizontal="right"/>
    </xf>
    <xf numFmtId="0" fontId="61" fillId="0" borderId="0" xfId="0" applyFont="1" applyBorder="1" applyAlignment="1">
      <alignment horizontal="right" wrapText="1"/>
    </xf>
    <xf numFmtId="0" fontId="59" fillId="0" borderId="0" xfId="0" applyFont="1" applyBorder="1" applyAlignment="1">
      <alignment horizontal="center" wrapText="1"/>
    </xf>
    <xf numFmtId="0" fontId="59" fillId="0" borderId="0" xfId="0" applyFont="1" applyBorder="1" applyAlignment="1">
      <alignment horizontal="center" vertical="top" wrapText="1"/>
    </xf>
    <xf numFmtId="0" fontId="59" fillId="0" borderId="10" xfId="0" applyFont="1" applyBorder="1" applyAlignment="1">
      <alignment horizontal="center" wrapText="1"/>
    </xf>
    <xf numFmtId="0" fontId="61" fillId="0" borderId="10" xfId="0" applyFont="1" applyBorder="1" applyAlignment="1">
      <alignment wrapText="1"/>
    </xf>
    <xf numFmtId="0" fontId="61" fillId="0" borderId="10" xfId="0" applyFont="1" applyBorder="1" applyAlignment="1">
      <alignment horizontal="center" wrapText="1"/>
    </xf>
    <xf numFmtId="1" fontId="61" fillId="0" borderId="10" xfId="0" applyNumberFormat="1" applyFont="1" applyBorder="1" applyAlignment="1">
      <alignment horizontal="center" wrapText="1"/>
    </xf>
    <xf numFmtId="1" fontId="14" fillId="0" borderId="0" xfId="0" applyNumberFormat="1" applyFont="1" applyBorder="1"/>
    <xf numFmtId="1" fontId="61" fillId="0" borderId="10" xfId="0" applyNumberFormat="1" applyFont="1" applyBorder="1" applyAlignment="1">
      <alignment horizontal="center"/>
    </xf>
    <xf numFmtId="0" fontId="59" fillId="0" borderId="10" xfId="0" applyFont="1" applyBorder="1" applyAlignment="1">
      <alignment wrapText="1"/>
    </xf>
    <xf numFmtId="1" fontId="59" fillId="0" borderId="10" xfId="0" applyNumberFormat="1" applyFont="1" applyBorder="1" applyAlignment="1">
      <alignment horizontal="center" wrapText="1"/>
    </xf>
    <xf numFmtId="1" fontId="59" fillId="0" borderId="10" xfId="0" applyNumberFormat="1" applyFont="1" applyBorder="1" applyAlignment="1">
      <alignment horizontal="center"/>
    </xf>
    <xf numFmtId="1" fontId="35" fillId="0" borderId="10" xfId="0" applyNumberFormat="1" applyFont="1" applyBorder="1"/>
    <xf numFmtId="1" fontId="35" fillId="0" borderId="0" xfId="0" applyNumberFormat="1" applyFont="1" applyBorder="1"/>
    <xf numFmtId="0" fontId="59" fillId="0" borderId="10" xfId="0" applyFont="1" applyBorder="1" applyAlignment="1">
      <alignment horizontal="center" wrapText="1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51" fillId="25" borderId="10" xfId="0" applyNumberFormat="1" applyFont="1" applyFill="1" applyBorder="1" applyAlignment="1">
      <alignment horizontal="center"/>
    </xf>
    <xf numFmtId="172" fontId="52" fillId="25" borderId="0" xfId="0" applyNumberFormat="1" applyFont="1" applyFill="1"/>
    <xf numFmtId="172" fontId="51" fillId="25" borderId="10" xfId="37" applyNumberFormat="1" applyFont="1" applyFill="1" applyBorder="1" applyAlignment="1">
      <alignment horizontal="center"/>
    </xf>
    <xf numFmtId="172" fontId="51" fillId="25" borderId="10" xfId="37" applyNumberFormat="1" applyFont="1" applyFill="1" applyBorder="1"/>
    <xf numFmtId="2" fontId="52" fillId="25" borderId="10" xfId="0" applyNumberFormat="1" applyFont="1" applyFill="1" applyBorder="1"/>
    <xf numFmtId="2" fontId="51" fillId="25" borderId="10" xfId="0" applyNumberFormat="1" applyFont="1" applyFill="1" applyBorder="1"/>
    <xf numFmtId="172" fontId="51" fillId="25" borderId="10" xfId="48" applyNumberFormat="1" applyFont="1" applyFill="1" applyBorder="1"/>
    <xf numFmtId="172" fontId="51" fillId="25" borderId="10" xfId="58" applyNumberFormat="1" applyFont="1" applyFill="1" applyBorder="1"/>
    <xf numFmtId="2" fontId="52" fillId="25" borderId="0" xfId="0" applyNumberFormat="1" applyFont="1" applyFill="1"/>
    <xf numFmtId="2" fontId="52" fillId="25" borderId="10" xfId="0" applyNumberFormat="1" applyFont="1" applyFill="1" applyBorder="1" applyAlignment="1">
      <alignment horizontal="right"/>
    </xf>
    <xf numFmtId="172" fontId="38" fillId="25" borderId="10" xfId="0" applyNumberFormat="1" applyFont="1" applyFill="1" applyBorder="1" applyAlignment="1">
      <alignment horizontal="center"/>
    </xf>
    <xf numFmtId="172" fontId="39" fillId="25" borderId="0" xfId="0" applyNumberFormat="1" applyFont="1" applyFill="1"/>
    <xf numFmtId="172" fontId="38" fillId="25" borderId="10" xfId="37" applyNumberFormat="1" applyFont="1" applyFill="1" applyBorder="1" applyAlignment="1">
      <alignment horizontal="center"/>
    </xf>
    <xf numFmtId="172" fontId="38" fillId="25" borderId="10" xfId="37" applyNumberFormat="1" applyFont="1" applyFill="1" applyBorder="1"/>
    <xf numFmtId="2" fontId="39" fillId="25" borderId="10" xfId="0" applyNumberFormat="1" applyFont="1" applyFill="1" applyBorder="1"/>
    <xf numFmtId="2" fontId="38" fillId="25" borderId="10" xfId="0" applyNumberFormat="1" applyFont="1" applyFill="1" applyBorder="1"/>
    <xf numFmtId="172" fontId="38" fillId="25" borderId="10" xfId="48" applyNumberFormat="1" applyFont="1" applyFill="1" applyBorder="1"/>
    <xf numFmtId="172" fontId="38" fillId="25" borderId="10" xfId="58" applyNumberFormat="1" applyFont="1" applyFill="1" applyBorder="1"/>
    <xf numFmtId="172" fontId="38" fillId="25" borderId="10" xfId="52" applyNumberFormat="1" applyFont="1" applyFill="1" applyBorder="1" applyAlignment="1"/>
    <xf numFmtId="172" fontId="51" fillId="25" borderId="10" xfId="0" applyNumberFormat="1" applyFont="1" applyFill="1" applyBorder="1" applyAlignment="1">
      <alignment horizontal="center" vertical="center"/>
    </xf>
    <xf numFmtId="172" fontId="52" fillId="25" borderId="0" xfId="0" applyNumberFormat="1" applyFont="1" applyFill="1" applyBorder="1"/>
    <xf numFmtId="172" fontId="51" fillId="25" borderId="10" xfId="52" applyNumberFormat="1" applyFont="1" applyFill="1" applyBorder="1" applyAlignment="1"/>
    <xf numFmtId="172" fontId="38" fillId="25" borderId="0" xfId="0" applyNumberFormat="1" applyFont="1" applyFill="1"/>
    <xf numFmtId="2" fontId="1" fillId="25" borderId="10" xfId="0" applyNumberFormat="1" applyFont="1" applyFill="1" applyBorder="1"/>
    <xf numFmtId="2" fontId="38" fillId="25" borderId="10" xfId="0" applyNumberFormat="1" applyFont="1" applyFill="1" applyBorder="1" applyAlignment="1"/>
    <xf numFmtId="172" fontId="40" fillId="25" borderId="0" xfId="0" applyNumberFormat="1" applyFont="1" applyFill="1"/>
    <xf numFmtId="172" fontId="38" fillId="25" borderId="0" xfId="0" applyNumberFormat="1" applyFont="1" applyFill="1" applyAlignment="1">
      <alignment horizontal="left"/>
    </xf>
    <xf numFmtId="172" fontId="38" fillId="25" borderId="0" xfId="0" applyNumberFormat="1" applyFont="1" applyFill="1" applyAlignment="1"/>
    <xf numFmtId="172" fontId="39" fillId="25" borderId="0" xfId="0" applyNumberFormat="1" applyFont="1" applyFill="1" applyAlignment="1">
      <alignment horizontal="left"/>
    </xf>
    <xf numFmtId="172" fontId="63" fillId="25" borderId="10" xfId="0" applyNumberFormat="1" applyFont="1" applyFill="1" applyBorder="1" applyAlignment="1">
      <alignment horizontal="center"/>
    </xf>
    <xf numFmtId="2" fontId="63" fillId="25" borderId="10" xfId="0" applyNumberFormat="1" applyFont="1" applyFill="1" applyBorder="1" applyAlignment="1">
      <alignment horizontal="right"/>
    </xf>
    <xf numFmtId="172" fontId="52" fillId="25" borderId="10" xfId="0" applyNumberFormat="1" applyFont="1" applyFill="1" applyBorder="1"/>
    <xf numFmtId="2" fontId="52" fillId="28" borderId="10" xfId="0" applyNumberFormat="1" applyFont="1" applyFill="1" applyBorder="1"/>
    <xf numFmtId="0" fontId="44" fillId="27" borderId="10" xfId="0" applyFont="1" applyFill="1" applyBorder="1" applyAlignment="1">
      <alignment horizontal="justify"/>
    </xf>
    <xf numFmtId="0" fontId="43" fillId="0" borderId="10" xfId="0" applyFont="1" applyBorder="1" applyAlignment="1">
      <alignment horizontal="center"/>
    </xf>
    <xf numFmtId="1" fontId="61" fillId="0" borderId="10" xfId="0" applyNumberFormat="1" applyFont="1" applyBorder="1" applyAlignment="1">
      <alignment horizontal="right"/>
    </xf>
    <xf numFmtId="2" fontId="61" fillId="0" borderId="10" xfId="57" applyNumberFormat="1" applyFont="1" applyBorder="1" applyAlignment="1">
      <alignment horizontal="right"/>
    </xf>
    <xf numFmtId="2" fontId="61" fillId="0" borderId="10" xfId="0" applyNumberFormat="1" applyFont="1" applyBorder="1" applyAlignment="1">
      <alignment horizontal="right" wrapText="1"/>
    </xf>
    <xf numFmtId="0" fontId="59" fillId="0" borderId="10" xfId="0" applyFont="1" applyBorder="1" applyAlignment="1">
      <alignment horizontal="center" vertical="center" wrapText="1"/>
    </xf>
    <xf numFmtId="0" fontId="44" fillId="27" borderId="10" xfId="0" applyFont="1" applyFill="1" applyBorder="1" applyAlignment="1">
      <alignment horizontal="center" vertical="center"/>
    </xf>
    <xf numFmtId="0" fontId="44" fillId="27" borderId="10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vertical="top" wrapText="1"/>
    </xf>
    <xf numFmtId="1" fontId="61" fillId="0" borderId="10" xfId="0" applyNumberFormat="1" applyFont="1" applyBorder="1" applyAlignment="1">
      <alignment horizontal="center" vertical="center" wrapText="1"/>
    </xf>
    <xf numFmtId="2" fontId="57" fillId="25" borderId="10" xfId="52" applyNumberFormat="1" applyFont="1" applyFill="1" applyBorder="1" applyAlignment="1">
      <alignment horizontal="center" wrapText="1"/>
    </xf>
    <xf numFmtId="9" fontId="0" fillId="0" borderId="0" xfId="57" applyFont="1"/>
    <xf numFmtId="2" fontId="48" fillId="25" borderId="10" xfId="52" applyNumberFormat="1" applyFont="1" applyFill="1" applyBorder="1" applyAlignment="1">
      <alignment wrapText="1"/>
    </xf>
    <xf numFmtId="2" fontId="48" fillId="25" borderId="10" xfId="52" applyNumberFormat="1" applyFont="1" applyFill="1" applyBorder="1" applyAlignment="1">
      <alignment horizontal="center" wrapText="1"/>
    </xf>
    <xf numFmtId="2" fontId="48" fillId="25" borderId="10" xfId="52" applyNumberFormat="1" applyFont="1" applyFill="1" applyBorder="1" applyAlignment="1"/>
    <xf numFmtId="1" fontId="61" fillId="0" borderId="10" xfId="0" applyNumberFormat="1" applyFont="1" applyBorder="1" applyAlignment="1">
      <alignment horizontal="right" wrapText="1"/>
    </xf>
    <xf numFmtId="1" fontId="64" fillId="24" borderId="10" xfId="53" applyNumberFormat="1" applyFont="1" applyFill="1" applyBorder="1" applyAlignment="1">
      <alignment vertical="center"/>
    </xf>
    <xf numFmtId="1" fontId="65" fillId="24" borderId="10" xfId="53" applyNumberFormat="1" applyFont="1" applyFill="1" applyBorder="1" applyAlignment="1">
      <alignment vertical="center"/>
    </xf>
    <xf numFmtId="1" fontId="64" fillId="24" borderId="10" xfId="53" applyNumberFormat="1" applyFont="1" applyFill="1" applyBorder="1" applyAlignment="1">
      <alignment horizontal="left" vertical="center"/>
    </xf>
    <xf numFmtId="1" fontId="65" fillId="24" borderId="10" xfId="37" applyNumberFormat="1" applyFont="1" applyFill="1" applyBorder="1" applyAlignment="1">
      <alignment horizontal="left" vertical="center"/>
    </xf>
    <xf numFmtId="1" fontId="65" fillId="24" borderId="10" xfId="53" applyNumberFormat="1" applyFont="1" applyFill="1" applyBorder="1" applyAlignment="1">
      <alignment horizontal="left" vertical="center"/>
    </xf>
    <xf numFmtId="2" fontId="39" fillId="25" borderId="0" xfId="0" applyNumberFormat="1" applyFont="1" applyFill="1"/>
    <xf numFmtId="0" fontId="21" fillId="25" borderId="0" xfId="0" applyFont="1" applyFill="1"/>
    <xf numFmtId="2" fontId="38" fillId="25" borderId="0" xfId="0" applyNumberFormat="1" applyFont="1" applyFill="1" applyBorder="1" applyAlignment="1"/>
    <xf numFmtId="2" fontId="51" fillId="25" borderId="0" xfId="0" applyNumberFormat="1" applyFont="1" applyFill="1" applyBorder="1"/>
    <xf numFmtId="0" fontId="48" fillId="0" borderId="10" xfId="0" applyFont="1" applyBorder="1" applyAlignment="1">
      <alignment horizontal="center" vertical="center"/>
    </xf>
    <xf numFmtId="1" fontId="48" fillId="0" borderId="15" xfId="0" applyNumberFormat="1" applyFont="1" applyBorder="1" applyAlignment="1">
      <alignment horizontal="right" vertical="center"/>
    </xf>
    <xf numFmtId="1" fontId="48" fillId="0" borderId="16" xfId="0" applyNumberFormat="1" applyFont="1" applyBorder="1" applyAlignment="1">
      <alignment horizontal="right" vertical="center"/>
    </xf>
    <xf numFmtId="1" fontId="64" fillId="0" borderId="0" xfId="0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 wrapText="1"/>
    </xf>
    <xf numFmtId="2" fontId="57" fillId="25" borderId="0" xfId="52" applyNumberFormat="1" applyFont="1" applyFill="1" applyBorder="1" applyAlignment="1">
      <alignment horizontal="left"/>
    </xf>
    <xf numFmtId="2" fontId="57" fillId="25" borderId="15" xfId="52" applyNumberFormat="1" applyFont="1" applyFill="1" applyBorder="1" applyAlignment="1">
      <alignment horizontal="center" wrapText="1"/>
    </xf>
    <xf numFmtId="2" fontId="57" fillId="25" borderId="14" xfId="52" applyNumberFormat="1" applyFont="1" applyFill="1" applyBorder="1" applyAlignment="1">
      <alignment horizontal="center" wrapText="1"/>
    </xf>
    <xf numFmtId="2" fontId="57" fillId="25" borderId="10" xfId="52" applyNumberFormat="1" applyFont="1" applyFill="1" applyBorder="1" applyAlignment="1">
      <alignment horizontal="center"/>
    </xf>
    <xf numFmtId="2" fontId="57" fillId="25" borderId="10" xfId="52" applyNumberFormat="1" applyFont="1" applyFill="1" applyBorder="1" applyAlignment="1">
      <alignment horizontal="center" wrapText="1"/>
    </xf>
    <xf numFmtId="2" fontId="57" fillId="25" borderId="14" xfId="52" applyNumberFormat="1" applyFont="1" applyFill="1" applyBorder="1" applyAlignment="1">
      <alignment horizontal="center"/>
    </xf>
    <xf numFmtId="2" fontId="53" fillId="25" borderId="0" xfId="0" applyNumberFormat="1" applyFont="1" applyFill="1" applyAlignment="1">
      <alignment horizontal="center"/>
    </xf>
    <xf numFmtId="2" fontId="57" fillId="25" borderId="0" xfId="0" applyNumberFormat="1" applyFont="1" applyFill="1" applyAlignment="1">
      <alignment horizontal="right"/>
    </xf>
    <xf numFmtId="2" fontId="57" fillId="25" borderId="17" xfId="0" applyNumberFormat="1" applyFont="1" applyFill="1" applyBorder="1" applyAlignment="1">
      <alignment horizontal="right"/>
    </xf>
    <xf numFmtId="172" fontId="51" fillId="25" borderId="10" xfId="0" applyNumberFormat="1" applyFont="1" applyFill="1" applyBorder="1" applyAlignment="1">
      <alignment horizontal="center"/>
    </xf>
    <xf numFmtId="172" fontId="51" fillId="25" borderId="15" xfId="0" applyNumberFormat="1" applyFont="1" applyFill="1" applyBorder="1" applyAlignment="1">
      <alignment horizontal="center"/>
    </xf>
    <xf numFmtId="172" fontId="51" fillId="25" borderId="14" xfId="0" applyNumberFormat="1" applyFont="1" applyFill="1" applyBorder="1" applyAlignment="1">
      <alignment horizontal="center"/>
    </xf>
    <xf numFmtId="172" fontId="51" fillId="25" borderId="15" xfId="0" applyNumberFormat="1" applyFont="1" applyFill="1" applyBorder="1" applyAlignment="1">
      <alignment horizontal="center" wrapText="1"/>
    </xf>
    <xf numFmtId="172" fontId="51" fillId="25" borderId="15" xfId="53" applyNumberFormat="1" applyFont="1" applyFill="1" applyBorder="1" applyAlignment="1">
      <alignment horizontal="center" vertical="center" wrapText="1"/>
    </xf>
    <xf numFmtId="172" fontId="51" fillId="25" borderId="14" xfId="53" applyNumberFormat="1" applyFont="1" applyFill="1" applyBorder="1" applyAlignment="1">
      <alignment horizontal="center" vertical="center" wrapText="1"/>
    </xf>
    <xf numFmtId="172" fontId="38" fillId="25" borderId="10" xfId="0" applyNumberFormat="1" applyFont="1" applyFill="1" applyBorder="1" applyAlignment="1">
      <alignment horizontal="center"/>
    </xf>
    <xf numFmtId="172" fontId="38" fillId="25" borderId="10" xfId="0" applyNumberFormat="1" applyFont="1" applyFill="1" applyBorder="1" applyAlignment="1">
      <alignment horizontal="center" wrapText="1"/>
    </xf>
    <xf numFmtId="172" fontId="51" fillId="25" borderId="10" xfId="0" applyNumberFormat="1" applyFont="1" applyFill="1" applyBorder="1" applyAlignment="1">
      <alignment horizontal="center" vertical="center"/>
    </xf>
    <xf numFmtId="172" fontId="51" fillId="25" borderId="10" xfId="0" applyNumberFormat="1" applyFont="1" applyFill="1" applyBorder="1" applyAlignment="1">
      <alignment horizontal="center" vertical="center" wrapText="1"/>
    </xf>
    <xf numFmtId="172" fontId="51" fillId="25" borderId="15" xfId="0" applyNumberFormat="1" applyFont="1" applyFill="1" applyBorder="1" applyAlignment="1">
      <alignment horizontal="center" vertical="center" wrapText="1"/>
    </xf>
    <xf numFmtId="172" fontId="51" fillId="25" borderId="14" xfId="0" applyNumberFormat="1" applyFont="1" applyFill="1" applyBorder="1" applyAlignment="1">
      <alignment horizontal="center" vertical="center"/>
    </xf>
    <xf numFmtId="172" fontId="51" fillId="25" borderId="10" xfId="53" applyNumberFormat="1" applyFont="1" applyFill="1" applyBorder="1" applyAlignment="1">
      <alignment horizontal="center" vertical="center"/>
    </xf>
    <xf numFmtId="172" fontId="38" fillId="25" borderId="0" xfId="0" applyNumberFormat="1" applyFont="1" applyFill="1" applyAlignment="1">
      <alignment horizontal="left"/>
    </xf>
    <xf numFmtId="172" fontId="38" fillId="25" borderId="15" xfId="53" applyNumberFormat="1" applyFont="1" applyFill="1" applyBorder="1" applyAlignment="1">
      <alignment horizontal="center"/>
    </xf>
    <xf numFmtId="172" fontId="38" fillId="25" borderId="14" xfId="53" applyNumberFormat="1" applyFont="1" applyFill="1" applyBorder="1" applyAlignment="1">
      <alignment horizontal="center"/>
    </xf>
    <xf numFmtId="172" fontId="63" fillId="25" borderId="10" xfId="0" applyNumberFormat="1" applyFont="1" applyFill="1" applyBorder="1" applyAlignment="1">
      <alignment horizontal="center"/>
    </xf>
    <xf numFmtId="172" fontId="63" fillId="25" borderId="10" xfId="0" applyNumberFormat="1" applyFont="1" applyFill="1" applyBorder="1" applyAlignment="1">
      <alignment horizontal="center" vertical="justify"/>
    </xf>
    <xf numFmtId="172" fontId="51" fillId="25" borderId="16" xfId="0" applyNumberFormat="1" applyFont="1" applyFill="1" applyBorder="1" applyAlignment="1">
      <alignment horizontal="center"/>
    </xf>
    <xf numFmtId="2" fontId="25" fillId="25" borderId="14" xfId="52" applyNumberFormat="1" applyFont="1" applyFill="1" applyBorder="1" applyAlignment="1">
      <alignment horizontal="center"/>
    </xf>
    <xf numFmtId="2" fontId="25" fillId="25" borderId="10" xfId="52" applyNumberFormat="1" applyFont="1" applyFill="1" applyBorder="1" applyAlignment="1">
      <alignment horizontal="center"/>
    </xf>
    <xf numFmtId="2" fontId="25" fillId="25" borderId="15" xfId="52" applyNumberFormat="1" applyFont="1" applyFill="1" applyBorder="1" applyAlignment="1">
      <alignment horizontal="center" wrapText="1"/>
    </xf>
    <xf numFmtId="2" fontId="25" fillId="25" borderId="14" xfId="52" applyNumberFormat="1" applyFont="1" applyFill="1" applyBorder="1" applyAlignment="1">
      <alignment horizontal="center" wrapText="1"/>
    </xf>
    <xf numFmtId="2" fontId="21" fillId="25" borderId="0" xfId="52" applyNumberFormat="1" applyFont="1" applyFill="1" applyBorder="1" applyAlignment="1">
      <alignment horizontal="left"/>
    </xf>
    <xf numFmtId="2" fontId="25" fillId="25" borderId="10" xfId="52" applyNumberFormat="1" applyFont="1" applyFill="1" applyBorder="1" applyAlignment="1">
      <alignment horizontal="center" wrapText="1"/>
    </xf>
    <xf numFmtId="2" fontId="25" fillId="25" borderId="15" xfId="0" applyNumberFormat="1" applyFont="1" applyFill="1" applyBorder="1" applyAlignment="1">
      <alignment horizontal="center"/>
    </xf>
    <xf numFmtId="2" fontId="25" fillId="25" borderId="14" xfId="0" applyNumberFormat="1" applyFont="1" applyFill="1" applyBorder="1" applyAlignment="1">
      <alignment horizontal="center"/>
    </xf>
    <xf numFmtId="2" fontId="25" fillId="25" borderId="10" xfId="0" applyNumberFormat="1" applyFont="1" applyFill="1" applyBorder="1" applyAlignment="1">
      <alignment horizontal="center"/>
    </xf>
    <xf numFmtId="2" fontId="25" fillId="25" borderId="15" xfId="54" applyNumberFormat="1" applyFont="1" applyFill="1" applyBorder="1" applyAlignment="1">
      <alignment horizontal="center" vertical="center" wrapText="1"/>
    </xf>
    <xf numFmtId="2" fontId="25" fillId="25" borderId="14" xfId="54" applyNumberFormat="1" applyFont="1" applyFill="1" applyBorder="1" applyAlignment="1">
      <alignment horizontal="center" vertical="center" wrapText="1"/>
    </xf>
    <xf numFmtId="2" fontId="29" fillId="25" borderId="18" xfId="0" applyNumberFormat="1" applyFont="1" applyFill="1" applyBorder="1" applyAlignment="1">
      <alignment horizontal="left"/>
    </xf>
    <xf numFmtId="2" fontId="25" fillId="25" borderId="10" xfId="0" applyNumberFormat="1" applyFont="1" applyFill="1" applyBorder="1" applyAlignment="1">
      <alignment horizontal="center" wrapText="1"/>
    </xf>
    <xf numFmtId="2" fontId="25" fillId="25" borderId="15" xfId="0" applyNumberFormat="1" applyFont="1" applyFill="1" applyBorder="1" applyAlignment="1">
      <alignment horizontal="center" wrapText="1"/>
    </xf>
    <xf numFmtId="2" fontId="25" fillId="25" borderId="14" xfId="0" applyNumberFormat="1" applyFont="1" applyFill="1" applyBorder="1" applyAlignment="1">
      <alignment horizontal="center" wrapText="1"/>
    </xf>
    <xf numFmtId="2" fontId="28" fillId="25" borderId="18" xfId="0" applyNumberFormat="1" applyFont="1" applyFill="1" applyBorder="1" applyAlignment="1">
      <alignment horizontal="left"/>
    </xf>
    <xf numFmtId="2" fontId="25" fillId="25" borderId="10" xfId="54" applyNumberFormat="1" applyFont="1" applyFill="1" applyBorder="1" applyAlignment="1">
      <alignment horizontal="center"/>
    </xf>
    <xf numFmtId="2" fontId="30" fillId="25" borderId="0" xfId="0" applyNumberFormat="1" applyFont="1" applyFill="1" applyAlignment="1">
      <alignment horizontal="left"/>
    </xf>
    <xf numFmtId="2" fontId="25" fillId="25" borderId="10" xfId="54" applyNumberFormat="1" applyFont="1" applyFill="1" applyBorder="1" applyAlignment="1">
      <alignment horizontal="center" vertical="center"/>
    </xf>
    <xf numFmtId="2" fontId="33" fillId="25" borderId="10" xfId="0" applyNumberFormat="1" applyFont="1" applyFill="1" applyBorder="1" applyAlignment="1">
      <alignment horizontal="center"/>
    </xf>
    <xf numFmtId="2" fontId="33" fillId="25" borderId="10" xfId="0" applyNumberFormat="1" applyFont="1" applyFill="1" applyBorder="1" applyAlignment="1">
      <alignment horizontal="center" vertical="justify"/>
    </xf>
    <xf numFmtId="2" fontId="51" fillId="25" borderId="14" xfId="52" applyNumberFormat="1" applyFont="1" applyFill="1" applyBorder="1" applyAlignment="1">
      <alignment horizontal="center"/>
    </xf>
    <xf numFmtId="2" fontId="51" fillId="25" borderId="10" xfId="52" applyNumberFormat="1" applyFont="1" applyFill="1" applyBorder="1" applyAlignment="1">
      <alignment horizontal="center"/>
    </xf>
    <xf numFmtId="2" fontId="51" fillId="25" borderId="15" xfId="52" applyNumberFormat="1" applyFont="1" applyFill="1" applyBorder="1" applyAlignment="1">
      <alignment horizontal="center" wrapText="1"/>
    </xf>
    <xf numFmtId="2" fontId="51" fillId="25" borderId="14" xfId="52" applyNumberFormat="1" applyFont="1" applyFill="1" applyBorder="1" applyAlignment="1">
      <alignment horizontal="center" wrapText="1"/>
    </xf>
    <xf numFmtId="2" fontId="51" fillId="25" borderId="10" xfId="52" applyNumberFormat="1" applyFont="1" applyFill="1" applyBorder="1" applyAlignment="1">
      <alignment horizontal="center" wrapText="1"/>
    </xf>
    <xf numFmtId="172" fontId="48" fillId="25" borderId="15" xfId="0" applyNumberFormat="1" applyFont="1" applyFill="1" applyBorder="1" applyAlignment="1">
      <alignment horizontal="center"/>
    </xf>
    <xf numFmtId="172" fontId="48" fillId="25" borderId="14" xfId="0" applyNumberFormat="1" applyFont="1" applyFill="1" applyBorder="1" applyAlignment="1">
      <alignment horizontal="center"/>
    </xf>
    <xf numFmtId="172" fontId="48" fillId="25" borderId="10" xfId="0" applyNumberFormat="1" applyFont="1" applyFill="1" applyBorder="1" applyAlignment="1">
      <alignment horizontal="center"/>
    </xf>
    <xf numFmtId="172" fontId="48" fillId="25" borderId="15" xfId="0" applyNumberFormat="1" applyFont="1" applyFill="1" applyBorder="1" applyAlignment="1">
      <alignment horizontal="center" wrapText="1"/>
    </xf>
    <xf numFmtId="172" fontId="48" fillId="25" borderId="15" xfId="53" applyNumberFormat="1" applyFont="1" applyFill="1" applyBorder="1" applyAlignment="1">
      <alignment horizontal="center" vertical="center" wrapText="1"/>
    </xf>
    <xf numFmtId="172" fontId="48" fillId="25" borderId="14" xfId="53" applyNumberFormat="1" applyFont="1" applyFill="1" applyBorder="1" applyAlignment="1">
      <alignment horizontal="center" vertical="center" wrapText="1"/>
    </xf>
    <xf numFmtId="172" fontId="26" fillId="25" borderId="10" xfId="0" applyNumberFormat="1" applyFont="1" applyFill="1" applyBorder="1" applyAlignment="1">
      <alignment horizontal="center"/>
    </xf>
    <xf numFmtId="172" fontId="26" fillId="25" borderId="10" xfId="0" applyNumberFormat="1" applyFont="1" applyFill="1" applyBorder="1" applyAlignment="1">
      <alignment horizontal="center" wrapText="1"/>
    </xf>
    <xf numFmtId="172" fontId="26" fillId="25" borderId="15" xfId="0" applyNumberFormat="1" applyFont="1" applyFill="1" applyBorder="1" applyAlignment="1">
      <alignment horizontal="center" wrapText="1"/>
    </xf>
    <xf numFmtId="172" fontId="26" fillId="25" borderId="14" xfId="0" applyNumberFormat="1" applyFont="1" applyFill="1" applyBorder="1" applyAlignment="1">
      <alignment horizontal="center" wrapText="1"/>
    </xf>
    <xf numFmtId="172" fontId="48" fillId="25" borderId="10" xfId="0" applyNumberFormat="1" applyFont="1" applyFill="1" applyBorder="1" applyAlignment="1">
      <alignment horizontal="center" vertical="top"/>
    </xf>
    <xf numFmtId="172" fontId="48" fillId="25" borderId="10" xfId="53" applyNumberFormat="1" applyFont="1" applyFill="1" applyBorder="1" applyAlignment="1">
      <alignment horizontal="center" vertical="top"/>
    </xf>
    <xf numFmtId="172" fontId="57" fillId="25" borderId="15" xfId="53" applyNumberFormat="1" applyFont="1" applyFill="1" applyBorder="1" applyAlignment="1">
      <alignment horizontal="center" vertical="top"/>
    </xf>
    <xf numFmtId="172" fontId="57" fillId="25" borderId="14" xfId="53" applyNumberFormat="1" applyFont="1" applyFill="1" applyBorder="1" applyAlignment="1">
      <alignment horizontal="center" vertical="top"/>
    </xf>
    <xf numFmtId="172" fontId="48" fillId="25" borderId="10" xfId="0" applyNumberFormat="1" applyFont="1" applyFill="1" applyBorder="1" applyAlignment="1">
      <alignment horizontal="center" vertical="top" wrapText="1"/>
    </xf>
    <xf numFmtId="172" fontId="48" fillId="25" borderId="15" xfId="0" applyNumberFormat="1" applyFont="1" applyFill="1" applyBorder="1" applyAlignment="1">
      <alignment horizontal="center" vertical="top" wrapText="1"/>
    </xf>
    <xf numFmtId="172" fontId="48" fillId="25" borderId="14" xfId="0" applyNumberFormat="1" applyFont="1" applyFill="1" applyBorder="1" applyAlignment="1">
      <alignment horizontal="center" vertical="top"/>
    </xf>
    <xf numFmtId="172" fontId="57" fillId="25" borderId="16" xfId="53" applyNumberFormat="1" applyFont="1" applyFill="1" applyBorder="1" applyAlignment="1">
      <alignment horizontal="center" vertical="top"/>
    </xf>
    <xf numFmtId="172" fontId="48" fillId="25" borderId="15" xfId="0" applyNumberFormat="1" applyFont="1" applyFill="1" applyBorder="1" applyAlignment="1">
      <alignment horizontal="center" vertical="top"/>
    </xf>
    <xf numFmtId="173" fontId="26" fillId="25" borderId="10" xfId="53" applyNumberFormat="1" applyFont="1" applyFill="1" applyBorder="1" applyAlignment="1">
      <alignment horizontal="center" vertical="center"/>
    </xf>
    <xf numFmtId="173" fontId="26" fillId="25" borderId="10" xfId="0" applyNumberFormat="1" applyFont="1" applyFill="1" applyBorder="1" applyAlignment="1">
      <alignment horizontal="center"/>
    </xf>
    <xf numFmtId="172" fontId="50" fillId="25" borderId="10" xfId="0" applyNumberFormat="1" applyFont="1" applyFill="1" applyBorder="1" applyAlignment="1">
      <alignment horizontal="center"/>
    </xf>
    <xf numFmtId="172" fontId="50" fillId="25" borderId="10" xfId="0" applyNumberFormat="1" applyFont="1" applyFill="1" applyBorder="1" applyAlignment="1">
      <alignment horizontal="center" vertical="justify"/>
    </xf>
    <xf numFmtId="0" fontId="35" fillId="0" borderId="15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59" fillId="0" borderId="15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9" fillId="0" borderId="19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top" wrapText="1"/>
    </xf>
    <xf numFmtId="0" fontId="61" fillId="0" borderId="17" xfId="0" applyFont="1" applyBorder="1" applyAlignment="1">
      <alignment horizontal="right" wrapText="1"/>
    </xf>
    <xf numFmtId="0" fontId="59" fillId="0" borderId="15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right"/>
    </xf>
    <xf numFmtId="0" fontId="59" fillId="0" borderId="10" xfId="0" applyFont="1" applyBorder="1" applyAlignment="1">
      <alignment horizontal="center" vertical="top"/>
    </xf>
    <xf numFmtId="0" fontId="59" fillId="27" borderId="10" xfId="0" applyFont="1" applyFill="1" applyBorder="1" applyAlignment="1">
      <alignment horizontal="center" vertical="top" wrapText="1"/>
    </xf>
    <xf numFmtId="0" fontId="59" fillId="0" borderId="16" xfId="0" applyFont="1" applyBorder="1" applyAlignment="1">
      <alignment horizontal="center" vertical="center" wrapText="1"/>
    </xf>
    <xf numFmtId="1" fontId="46" fillId="0" borderId="0" xfId="0" applyNumberFormat="1" applyFont="1" applyAlignment="1">
      <alignment horizontal="center"/>
    </xf>
    <xf numFmtId="0" fontId="61" fillId="0" borderId="0" xfId="0" applyFont="1" applyAlignment="1">
      <alignment horizontal="right"/>
    </xf>
    <xf numFmtId="0" fontId="59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42" fillId="0" borderId="0" xfId="0" applyFont="1" applyBorder="1" applyAlignment="1">
      <alignment horizontal="right"/>
    </xf>
    <xf numFmtId="0" fontId="43" fillId="0" borderId="10" xfId="0" applyFont="1" applyBorder="1" applyAlignment="1">
      <alignment horizontal="center" vertical="top"/>
    </xf>
    <xf numFmtId="0" fontId="44" fillId="27" borderId="10" xfId="0" applyFont="1" applyFill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2" xfId="42"/>
    <cellStyle name="Normal 2 2" xfId="43"/>
    <cellStyle name="Normal 3" xfId="44"/>
    <cellStyle name="Normal 4" xfId="45"/>
    <cellStyle name="Normal 5" xfId="46"/>
    <cellStyle name="Normal 6" xfId="47"/>
    <cellStyle name="Normal 7" xfId="48"/>
    <cellStyle name="Normal 7 2" xfId="49"/>
    <cellStyle name="Normal 8" xfId="50"/>
    <cellStyle name="Normal 9" xfId="51"/>
    <cellStyle name="Normal_08-09(1)" xfId="52"/>
    <cellStyle name="Normal_summary 2" xfId="53"/>
    <cellStyle name="Normal_summary 2 2" xfId="54"/>
    <cellStyle name="Note" xfId="55" builtinId="10" customBuiltin="1"/>
    <cellStyle name="Output" xfId="56" builtinId="21" customBuiltin="1"/>
    <cellStyle name="Percent" xfId="57" builtinId="5"/>
    <cellStyle name="Percent 2" xfId="58"/>
    <cellStyle name="Title" xfId="59" builtinId="15" customBuiltin="1"/>
    <cellStyle name="Total" xfId="60" builtinId="25" customBuiltin="1"/>
    <cellStyle name="Warning Text" xfId="6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Area and Production of</a:t>
            </a:r>
            <a:r>
              <a:rPr lang="en-US" sz="1200" baseline="0"/>
              <a:t> Total Horticulture Crops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571741032371027E-2"/>
          <c:y val="0.16089129483814524"/>
          <c:w val="0.66915179352582721"/>
          <c:h val="0.63222987751533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'Graph-(1)'!$B$3</c:f>
              <c:strCache>
                <c:ptCount val="1"/>
                <c:pt idx="0">
                  <c:v>Area
(in Million Hectre)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'Graph-(1)'!$A$4:$A$10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'Graph-(1)'!$B$4:$B$10</c:f>
              <c:numCache>
                <c:formatCode>0.0</c:formatCode>
                <c:ptCount val="7"/>
                <c:pt idx="0" formatCode="0">
                  <c:v>23.242160010000003</c:v>
                </c:pt>
                <c:pt idx="1">
                  <c:v>23.694144639999998</c:v>
                </c:pt>
                <c:pt idx="2">
                  <c:v>24.092933990000006</c:v>
                </c:pt>
                <c:pt idx="3">
                  <c:v>24.303358790000001</c:v>
                </c:pt>
                <c:pt idx="4">
                  <c:v>24.457957539999999</c:v>
                </c:pt>
                <c:pt idx="5" formatCode="0.00">
                  <c:v>24.198481230000006</c:v>
                </c:pt>
                <c:pt idx="6" formatCode="0.0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'Graph-(1)'!$C$3</c:f>
              <c:strCache>
                <c:ptCount val="1"/>
                <c:pt idx="0">
                  <c:v>Production
(in Million Tonne)</c:v>
                </c:pt>
              </c:strCache>
            </c:strRef>
          </c:tx>
          <c:spPr>
            <a:solidFill>
              <a:srgbClr val="CC0000">
                <a:alpha val="69804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'Graph-(1)'!$A$4:$A$10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'Graph-(1)'!$C$4:$C$10</c:f>
              <c:numCache>
                <c:formatCode>0</c:formatCode>
                <c:ptCount val="7"/>
                <c:pt idx="0">
                  <c:v>257.27657039999997</c:v>
                </c:pt>
                <c:pt idx="1">
                  <c:v>268.84745347999996</c:v>
                </c:pt>
                <c:pt idx="2">
                  <c:v>279.28964809199999</c:v>
                </c:pt>
                <c:pt idx="3">
                  <c:v>280.70724532000003</c:v>
                </c:pt>
                <c:pt idx="4">
                  <c:v>280.79212917437422</c:v>
                </c:pt>
                <c:pt idx="5">
                  <c:v>277.35203670965581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32800"/>
        <c:axId val="189134336"/>
      </c:barChart>
      <c:catAx>
        <c:axId val="1891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134336"/>
        <c:crosses val="autoZero"/>
        <c:auto val="1"/>
        <c:lblAlgn val="ctr"/>
        <c:lblOffset val="100"/>
        <c:noMultiLvlLbl val="0"/>
      </c:catAx>
      <c:valAx>
        <c:axId val="18913433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132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Top Five Vegetable Producing States-2013-14(3rd est.)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4.6965879265091846E-2"/>
                  <c:y val="2.496208807232429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WEST BENGAL
15%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8266213655808357E-2"/>
                  <c:y val="-0.2446555118110237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UTTAR PRADESH
12%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0602788713910755"/>
                  <c:y val="-0.1634364975211476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BIHAR
10%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664370078740162E-2"/>
                  <c:y val="5.538641003208057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MADHYA PRADESH
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ANDHRA PRADESH
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'Graph-(8)'!$A$6:$A$10</c:f>
              <c:strCache>
                <c:ptCount val="5"/>
                <c:pt idx="0">
                  <c:v>WEST BENGAL</c:v>
                </c:pt>
                <c:pt idx="1">
                  <c:v>UTTAR PRADESH</c:v>
                </c:pt>
                <c:pt idx="2">
                  <c:v>BIHAR</c:v>
                </c:pt>
                <c:pt idx="3">
                  <c:v>MADHYA PRADESH</c:v>
                </c:pt>
                <c:pt idx="4">
                  <c:v>ANDHRA PRADESH</c:v>
                </c:pt>
              </c:strCache>
            </c:strRef>
          </c:cat>
          <c:val>
            <c:numRef>
              <c:f>'Graph-(8)'!$D$6:$D$10</c:f>
              <c:numCache>
                <c:formatCode>0</c:formatCode>
                <c:ptCount val="5"/>
                <c:pt idx="0">
                  <c:v>15.123728854548316</c:v>
                </c:pt>
                <c:pt idx="1">
                  <c:v>11.747602810123217</c:v>
                </c:pt>
                <c:pt idx="2">
                  <c:v>9.8292995247941359</c:v>
                </c:pt>
                <c:pt idx="3">
                  <c:v>7.8176201013288829</c:v>
                </c:pt>
                <c:pt idx="4">
                  <c:v>7.510222367323248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Area and Production of vegetable Crops -2013-14(3rd</a:t>
            </a:r>
            <a:r>
              <a:rPr lang="en-US" sz="1200" baseline="0"/>
              <a:t> est.)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'Graph-(7)'!$B$3</c:f>
              <c:strCache>
                <c:ptCount val="1"/>
                <c:pt idx="0">
                  <c:v>Area
(in Million Hectre)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'Graph-(7)'!$A$4:$A$8</c:f>
              <c:strCache>
                <c:ptCount val="5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</c:strCache>
            </c:strRef>
          </c:cat>
          <c:val>
            <c:numRef>
              <c:f>'Graph-(7)'!$B$4:$B$8</c:f>
              <c:numCache>
                <c:formatCode>0.00</c:formatCode>
                <c:ptCount val="5"/>
                <c:pt idx="0">
                  <c:v>8.9893515000000015</c:v>
                </c:pt>
                <c:pt idx="1">
                  <c:v>9.2051854999999989</c:v>
                </c:pt>
                <c:pt idx="2">
                  <c:v>9.3903424999999991</c:v>
                </c:pt>
                <c:pt idx="3">
                  <c:v>9.6085901999999983</c:v>
                </c:pt>
                <c:pt idx="4">
                  <c:v>9.5672281999999988</c:v>
                </c:pt>
              </c:numCache>
            </c:numRef>
          </c:val>
        </c:ser>
        <c:ser>
          <c:idx val="1"/>
          <c:order val="1"/>
          <c:tx>
            <c:strRef>
              <c:f>'Graph-(7)'!$C$3</c:f>
              <c:strCache>
                <c:ptCount val="1"/>
                <c:pt idx="0">
                  <c:v>Production
(in Million Tonne)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'Graph-(7)'!$A$4:$A$8</c:f>
              <c:strCache>
                <c:ptCount val="5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</c:strCache>
            </c:strRef>
          </c:cat>
          <c:val>
            <c:numRef>
              <c:f>'Graph-(7)'!$C$4:$C$8</c:f>
              <c:numCache>
                <c:formatCode>0.00</c:formatCode>
                <c:ptCount val="5"/>
                <c:pt idx="0">
                  <c:v>156.32514900999999</c:v>
                </c:pt>
                <c:pt idx="1">
                  <c:v>162.18656659000001</c:v>
                </c:pt>
                <c:pt idx="2">
                  <c:v>168.91852859000002</c:v>
                </c:pt>
                <c:pt idx="3">
                  <c:v>170.24814859000003</c:v>
                </c:pt>
                <c:pt idx="4">
                  <c:v>168.14236658999999</c:v>
                </c:pt>
              </c:numCache>
            </c:numRef>
          </c:val>
        </c:ser>
        <c:ser>
          <c:idx val="2"/>
          <c:order val="2"/>
          <c:tx>
            <c:strRef>
              <c:f>'Graph-(7)'!$D$3</c:f>
              <c:strCache>
                <c:ptCount val="1"/>
                <c:pt idx="0">
                  <c:v>Productivity
(in MT/Ha</c:v>
                </c:pt>
              </c:strCache>
            </c:strRef>
          </c:tx>
          <c:invertIfNegative val="0"/>
          <c:cat>
            <c:strRef>
              <c:f>'Graph-(7)'!$A$4:$A$8</c:f>
              <c:strCache>
                <c:ptCount val="5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</c:strCache>
            </c:strRef>
          </c:cat>
          <c:val>
            <c:numRef>
              <c:f>'Graph-(7)'!$D$4:$D$8</c:f>
              <c:numCache>
                <c:formatCode>0.000</c:formatCode>
                <c:ptCount val="5"/>
                <c:pt idx="0">
                  <c:v>17.390036312408071</c:v>
                </c:pt>
                <c:pt idx="1">
                  <c:v>17.619043808514238</c:v>
                </c:pt>
                <c:pt idx="2">
                  <c:v>17.988537541628546</c:v>
                </c:pt>
                <c:pt idx="3">
                  <c:v>17.718327563808483</c:v>
                </c:pt>
                <c:pt idx="4">
                  <c:v>17.57482554769625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98432"/>
        <c:axId val="190104320"/>
      </c:barChart>
      <c:catAx>
        <c:axId val="1900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90104320"/>
        <c:crosses val="autoZero"/>
        <c:auto val="1"/>
        <c:lblAlgn val="ctr"/>
        <c:lblOffset val="100"/>
        <c:noMultiLvlLbl val="0"/>
      </c:catAx>
      <c:valAx>
        <c:axId val="190104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900984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Area and Production of Fruit Crops-2013-14(3rd est.)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793981327773273E-2"/>
          <c:y val="0.13548740617949556"/>
          <c:w val="0.70666582198607863"/>
          <c:h val="0.7378815367377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'Graph-(2)'!$B$3</c:f>
              <c:strCache>
                <c:ptCount val="1"/>
                <c:pt idx="0">
                  <c:v>Area
(in Million Hectre)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'Graph-(2)'!$A$4:$A$10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'Graph-(2)'!$B$4:$B$10</c:f>
              <c:numCache>
                <c:formatCode>0.00</c:formatCode>
                <c:ptCount val="7"/>
                <c:pt idx="0">
                  <c:v>6.7045626100000018</c:v>
                </c:pt>
                <c:pt idx="1">
                  <c:v>6.9820149999999996</c:v>
                </c:pt>
                <c:pt idx="2">
                  <c:v>7.1397950000000012</c:v>
                </c:pt>
                <c:pt idx="3">
                  <c:v>7.1359469999999998</c:v>
                </c:pt>
                <c:pt idx="4">
                  <c:v>7.185995000000001</c:v>
                </c:pt>
                <c:pt idx="5">
                  <c:v>7.2163120000000012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'Graph-(2)'!$C$3</c:f>
              <c:strCache>
                <c:ptCount val="1"/>
                <c:pt idx="0">
                  <c:v>Production
(in Million Tonne)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'Graph-(2)'!$A$4:$A$10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'Graph-(2)'!$C$4:$C$10</c:f>
              <c:numCache>
                <c:formatCode>0.00</c:formatCode>
                <c:ptCount val="7"/>
                <c:pt idx="0">
                  <c:v>76.423966480000004</c:v>
                </c:pt>
                <c:pt idx="1">
                  <c:v>81.285333949999981</c:v>
                </c:pt>
                <c:pt idx="2">
                  <c:v>84.426141549999983</c:v>
                </c:pt>
                <c:pt idx="3">
                  <c:v>84.410672549999987</c:v>
                </c:pt>
                <c:pt idx="4">
                  <c:v>86.822188549999993</c:v>
                </c:pt>
                <c:pt idx="5">
                  <c:v>88.977134450000008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35968"/>
        <c:axId val="189645952"/>
      </c:barChart>
      <c:catAx>
        <c:axId val="18963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645952"/>
        <c:crosses val="autoZero"/>
        <c:auto val="1"/>
        <c:lblAlgn val="ctr"/>
        <c:lblOffset val="100"/>
        <c:noMultiLvlLbl val="0"/>
      </c:catAx>
      <c:valAx>
        <c:axId val="189645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6359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Area and Production of vegetable Crops -2013-14(3rd</a:t>
            </a:r>
            <a:r>
              <a:rPr lang="en-US" sz="1200" baseline="0"/>
              <a:t> est.)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'Graph-(3)'!$B$3</c:f>
              <c:strCache>
                <c:ptCount val="1"/>
                <c:pt idx="0">
                  <c:v>Area
(in Million Hectre)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'Graph-(3)'!$A$4:$A$10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'Graph-(3)'!$B$4:$B$10</c:f>
              <c:numCache>
                <c:formatCode>0.00</c:formatCode>
                <c:ptCount val="7"/>
                <c:pt idx="0">
                  <c:v>8.9893515000000015</c:v>
                </c:pt>
                <c:pt idx="1">
                  <c:v>9.2051854999999989</c:v>
                </c:pt>
                <c:pt idx="2">
                  <c:v>9.3903424999999991</c:v>
                </c:pt>
                <c:pt idx="3">
                  <c:v>9.6085901999999983</c:v>
                </c:pt>
                <c:pt idx="4">
                  <c:v>9.5672281999999988</c:v>
                </c:pt>
                <c:pt idx="5">
                  <c:v>9.3960571999999996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'Graph-(3)'!$C$3</c:f>
              <c:strCache>
                <c:ptCount val="1"/>
                <c:pt idx="0">
                  <c:v>Production
(in Million Tonne)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'Graph-(3)'!$A$4:$A$10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'Graph-(3)'!$C$4:$C$10</c:f>
              <c:numCache>
                <c:formatCode>0.00</c:formatCode>
                <c:ptCount val="7"/>
                <c:pt idx="0">
                  <c:v>156.32514900999999</c:v>
                </c:pt>
                <c:pt idx="1">
                  <c:v>162.18656659000001</c:v>
                </c:pt>
                <c:pt idx="2">
                  <c:v>168.91852859000002</c:v>
                </c:pt>
                <c:pt idx="3">
                  <c:v>170.24814859000003</c:v>
                </c:pt>
                <c:pt idx="4">
                  <c:v>168.14236658999999</c:v>
                </c:pt>
                <c:pt idx="5">
                  <c:v>162.89691059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72064"/>
        <c:axId val="189690240"/>
      </c:barChart>
      <c:catAx>
        <c:axId val="1896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690240"/>
        <c:crosses val="autoZero"/>
        <c:auto val="1"/>
        <c:lblAlgn val="ctr"/>
        <c:lblOffset val="100"/>
        <c:noMultiLvlLbl val="0"/>
      </c:catAx>
      <c:valAx>
        <c:axId val="1896902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672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Area and Production of Plantation Crops-2013-14(</a:t>
            </a:r>
            <a:r>
              <a:rPr lang="en-US" sz="1200" baseline="0"/>
              <a:t> 3rd </a:t>
            </a:r>
            <a:r>
              <a:rPr lang="en-US" sz="1200"/>
              <a:t>est.)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09482260663522"/>
          <c:y val="0.10284764243697862"/>
          <c:w val="0.62550005573627621"/>
          <c:h val="0.71394284047828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'Graph-(4)'!$B$2</c:f>
              <c:strCache>
                <c:ptCount val="1"/>
                <c:pt idx="0">
                  <c:v>Area
(in Million Hectre)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'Graph-(4)'!$A$3:$A$9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'Graph-(4)'!$B$3:$B$9</c:f>
              <c:numCache>
                <c:formatCode>0.00</c:formatCode>
                <c:ptCount val="7"/>
                <c:pt idx="0">
                  <c:v>3.5765280000000002</c:v>
                </c:pt>
                <c:pt idx="1">
                  <c:v>3.6411379999999998</c:v>
                </c:pt>
                <c:pt idx="2">
                  <c:v>3.6832710000000004</c:v>
                </c:pt>
                <c:pt idx="3">
                  <c:v>3.6903040000000003</c:v>
                </c:pt>
                <c:pt idx="4">
                  <c:v>3.6743230000000002</c:v>
                </c:pt>
                <c:pt idx="5">
                  <c:v>3.6745970000000008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'Graph-(4)'!$C$2</c:f>
              <c:strCache>
                <c:ptCount val="1"/>
                <c:pt idx="0">
                  <c:v>Production
(in Million Tonne)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'Graph-(4)'!$A$3:$A$9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  <c:pt idx="6">
                  <c:v>2014-15
(1st est)</c:v>
                </c:pt>
              </c:strCache>
            </c:strRef>
          </c:cat>
          <c:val>
            <c:numRef>
              <c:f>'Graph-(4)'!$C$3:$C$9</c:f>
              <c:numCache>
                <c:formatCode>0.00</c:formatCode>
                <c:ptCount val="7"/>
                <c:pt idx="0">
                  <c:v>16.358682999999999</c:v>
                </c:pt>
                <c:pt idx="1">
                  <c:v>16.984594999999999</c:v>
                </c:pt>
                <c:pt idx="2">
                  <c:v>17.433870999999996</c:v>
                </c:pt>
                <c:pt idx="3">
                  <c:v>17.462157999999999</c:v>
                </c:pt>
                <c:pt idx="4">
                  <c:v>16.598172999999999</c:v>
                </c:pt>
                <c:pt idx="5">
                  <c:v>16.30122347513143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12640"/>
        <c:axId val="189714432"/>
      </c:barChart>
      <c:catAx>
        <c:axId val="1897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714432"/>
        <c:crosses val="autoZero"/>
        <c:auto val="1"/>
        <c:lblAlgn val="ctr"/>
        <c:lblOffset val="100"/>
        <c:noMultiLvlLbl val="0"/>
      </c:catAx>
      <c:valAx>
        <c:axId val="1897144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712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Area and Production of Spices-2013-14(3rd est.)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'Graph-(5)'!$B$2</c:f>
              <c:strCache>
                <c:ptCount val="1"/>
                <c:pt idx="0">
                  <c:v>Area
(in Million Hectre)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9444444444444445E-2"/>
                  <c:y val="-1.3888888888889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6666666666667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88888888891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44444444444444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'Graph-(5)'!$A$3:$A$8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</c:strCache>
            </c:strRef>
          </c:cat>
          <c:val>
            <c:numRef>
              <c:f>'Graph-(5)'!$B$3:$B$8</c:f>
              <c:numCache>
                <c:formatCode>0.00</c:formatCode>
                <c:ptCount val="6"/>
                <c:pt idx="0">
                  <c:v>3.2124709999999999</c:v>
                </c:pt>
                <c:pt idx="1">
                  <c:v>3.0758989999999997</c:v>
                </c:pt>
                <c:pt idx="2">
                  <c:v>3.0758989999999997</c:v>
                </c:pt>
                <c:pt idx="3">
                  <c:v>3.1456960000000005</c:v>
                </c:pt>
                <c:pt idx="4">
                  <c:v>3.2349999999999999</c:v>
                </c:pt>
                <c:pt idx="5">
                  <c:v>3.1632410000000006</c:v>
                </c:pt>
              </c:numCache>
            </c:numRef>
          </c:val>
        </c:ser>
        <c:ser>
          <c:idx val="1"/>
          <c:order val="1"/>
          <c:tx>
            <c:strRef>
              <c:f>'Graph-(5)'!$C$2</c:f>
              <c:strCache>
                <c:ptCount val="1"/>
                <c:pt idx="0">
                  <c:v>Production
(in Million Tonne)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'Graph-(5)'!$A$3:$A$8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
(1st est)</c:v>
                </c:pt>
                <c:pt idx="3">
                  <c:v>2013-14
(2nd est)</c:v>
                </c:pt>
                <c:pt idx="4">
                  <c:v>2013-14
(3rd est)</c:v>
                </c:pt>
                <c:pt idx="5">
                  <c:v>2013-14
(Final)</c:v>
                </c:pt>
              </c:strCache>
            </c:strRef>
          </c:cat>
          <c:val>
            <c:numRef>
              <c:f>'Graph-(5)'!$C$3:$C$8</c:f>
              <c:numCache>
                <c:formatCode>0.00</c:formatCode>
                <c:ptCount val="6"/>
                <c:pt idx="0">
                  <c:v>5.9514579999999997</c:v>
                </c:pt>
                <c:pt idx="1">
                  <c:v>5.7435240999999992</c:v>
                </c:pt>
                <c:pt idx="2">
                  <c:v>5.7435240999999992</c:v>
                </c:pt>
                <c:pt idx="3">
                  <c:v>5.8339399999999983</c:v>
                </c:pt>
                <c:pt idx="4">
                  <c:v>5.931</c:v>
                </c:pt>
                <c:pt idx="5">
                  <c:v>5.9082899999999992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17984"/>
        <c:axId val="189819520"/>
      </c:barChart>
      <c:catAx>
        <c:axId val="1898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819520"/>
        <c:crosses val="autoZero"/>
        <c:auto val="1"/>
        <c:lblAlgn val="ctr"/>
        <c:lblOffset val="100"/>
        <c:noMultiLvlLbl val="0"/>
      </c:catAx>
      <c:valAx>
        <c:axId val="189819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9817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Top Ten Horticulture</a:t>
            </a:r>
            <a:r>
              <a:rPr lang="en-US" sz="1200" baseline="0"/>
              <a:t> Producing States (2013-14 3rd est.)</a:t>
            </a:r>
          </a:p>
          <a:p>
            <a:pPr>
              <a:defRPr lang="en-US" sz="1200"/>
            </a:pP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2"/>
          <c:order val="0"/>
          <c:tx>
            <c:strRef>
              <c:f>'Graph-(6)'!$N$3:$N$4</c:f>
              <c:strCache>
                <c:ptCount val="1"/>
                <c:pt idx="0">
                  <c:v>% Share Production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Lbl>
              <c:idx val="0"/>
              <c:layout>
                <c:manualLayout>
                  <c:x val="-0.10600547471816472"/>
                  <c:y val="-3.4403646912557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956469886702387E-2"/>
                  <c:y val="-9.75079430860635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023255813953496E-2"/>
                  <c:y val="-9.72391214256112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745162668620358E-2"/>
                  <c:y val="-7.0716949854953606E-3"/>
                </c:manualLayout>
              </c:layout>
              <c:spPr/>
              <c:txPr>
                <a:bodyPr/>
                <a:lstStyle/>
                <a:p>
                  <a:pPr>
                    <a:defRPr lang="en-US" sz="800" b="1"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5345174876396282E-2"/>
                  <c:y val="-4.28802320762536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'Graph-(6)'!$K$5:$K$14</c:f>
              <c:strCache>
                <c:ptCount val="10"/>
                <c:pt idx="0">
                  <c:v>ANDHRA PRADESH</c:v>
                </c:pt>
                <c:pt idx="1">
                  <c:v>WEST BENGAL</c:v>
                </c:pt>
                <c:pt idx="2">
                  <c:v>UTTAR PRADESH</c:v>
                </c:pt>
                <c:pt idx="3">
                  <c:v>MAHARASHTRA</c:v>
                </c:pt>
                <c:pt idx="4">
                  <c:v>TAMILNADU</c:v>
                </c:pt>
                <c:pt idx="5">
                  <c:v>GUJARAT</c:v>
                </c:pt>
                <c:pt idx="6">
                  <c:v>BIHAR</c:v>
                </c:pt>
                <c:pt idx="7">
                  <c:v>MADHYA PRADESH</c:v>
                </c:pt>
                <c:pt idx="8">
                  <c:v>KARNATAKA</c:v>
                </c:pt>
                <c:pt idx="9">
                  <c:v>ODISHA</c:v>
                </c:pt>
              </c:strCache>
            </c:strRef>
          </c:cat>
          <c:val>
            <c:numRef>
              <c:f>'Graph-(6)'!$N$5:$N$14</c:f>
              <c:numCache>
                <c:formatCode>0.0%</c:formatCode>
                <c:ptCount val="10"/>
                <c:pt idx="0">
                  <c:v>0.10561160584362167</c:v>
                </c:pt>
                <c:pt idx="1">
                  <c:v>0.10165326349072562</c:v>
                </c:pt>
                <c:pt idx="2">
                  <c:v>9.4833532934009535E-2</c:v>
                </c:pt>
                <c:pt idx="3">
                  <c:v>7.9044705953303138E-2</c:v>
                </c:pt>
                <c:pt idx="4">
                  <c:v>7.8327134992226821E-2</c:v>
                </c:pt>
                <c:pt idx="5">
                  <c:v>7.4796893107533624E-2</c:v>
                </c:pt>
                <c:pt idx="6">
                  <c:v>7.4442912271966782E-2</c:v>
                </c:pt>
                <c:pt idx="7">
                  <c:v>7.0225497324831312E-2</c:v>
                </c:pt>
                <c:pt idx="8">
                  <c:v>6.6647944049365873E-2</c:v>
                </c:pt>
                <c:pt idx="9">
                  <c:v>4.4171979012864029E-2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Top Ten</a:t>
            </a:r>
            <a:r>
              <a:rPr lang="en-US" sz="1200" baseline="0"/>
              <a:t> Horticulture Producing States- 2013-14 (Final)</a:t>
            </a:r>
            <a:endParaRPr lang="en-US" sz="12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6863E-2"/>
          <c:y val="0.16052747029809677"/>
          <c:w val="0.8611111111111116"/>
          <c:h val="0.819444444444444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Lbl>
              <c:idx val="0"/>
              <c:layout>
                <c:manualLayout>
                  <c:x val="-0.10010465879265112"/>
                  <c:y val="0.1273242927967337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474081364829396"/>
                  <c:y val="-0.1660600758238553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118000874890734E-2"/>
                  <c:y val="-0.1337678623505395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3477690288714194E-4"/>
                  <c:y val="-8.566320514283876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KARNATAKA, </a:t>
                    </a:r>
                  </a:p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'Graph-(6)'!$Q$6:$Q$15</c:f>
              <c:strCache>
                <c:ptCount val="10"/>
                <c:pt idx="0">
                  <c:v>WEST BENGAL</c:v>
                </c:pt>
                <c:pt idx="1">
                  <c:v>UTTAR PRADESH</c:v>
                </c:pt>
                <c:pt idx="2">
                  <c:v>MAHARASHTRA</c:v>
                </c:pt>
                <c:pt idx="3">
                  <c:v>TAMILNADU</c:v>
                </c:pt>
                <c:pt idx="4">
                  <c:v>GUJARAT</c:v>
                </c:pt>
                <c:pt idx="5">
                  <c:v>MADHYA PRADESH</c:v>
                </c:pt>
                <c:pt idx="6">
                  <c:v>BIHAR</c:v>
                </c:pt>
                <c:pt idx="7">
                  <c:v>KARNATAKA</c:v>
                </c:pt>
                <c:pt idx="8">
                  <c:v>ANDHRA PRADESH</c:v>
                </c:pt>
                <c:pt idx="9">
                  <c:v>ODISHA</c:v>
                </c:pt>
              </c:strCache>
            </c:strRef>
          </c:cat>
          <c:val>
            <c:numRef>
              <c:f>'Graph-(6)'!$T$6:$T$15</c:f>
              <c:numCache>
                <c:formatCode>0%</c:formatCode>
                <c:ptCount val="10"/>
                <c:pt idx="0">
                  <c:v>9.8647440417026097E-2</c:v>
                </c:pt>
                <c:pt idx="1">
                  <c:v>9.5356777933524123E-2</c:v>
                </c:pt>
                <c:pt idx="2">
                  <c:v>8.9724007142965384E-2</c:v>
                </c:pt>
                <c:pt idx="3">
                  <c:v>8.0121608375740977E-2</c:v>
                </c:pt>
                <c:pt idx="4">
                  <c:v>7.6958803612065418E-2</c:v>
                </c:pt>
                <c:pt idx="5">
                  <c:v>7.3124435620347358E-2</c:v>
                </c:pt>
                <c:pt idx="6">
                  <c:v>7.1091474878764119E-2</c:v>
                </c:pt>
                <c:pt idx="7">
                  <c:v>6.9123946189026272E-2</c:v>
                </c:pt>
                <c:pt idx="8">
                  <c:v>5.1132249216663983E-2</c:v>
                </c:pt>
                <c:pt idx="9">
                  <c:v>4.4996435868759704E-2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Top Ten Horticulture Producing States-2014-15 (First Est.)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500000000000008E-2"/>
          <c:y val="0.32132509477982396"/>
          <c:w val="0.8138888888888931"/>
          <c:h val="0.617997958588519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Lbl>
              <c:idx val="2"/>
              <c:layout>
                <c:manualLayout>
                  <c:x val="-5.2805774278215332E-2"/>
                  <c:y val="-9.72076407115777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044560441180809"/>
                  <c:y val="-0.227984835228929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3312445319335534E-2"/>
                  <c:y val="-0.121036380869058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'Graph-(6)'!$AE$6:$AE$15</c:f>
              <c:strCache>
                <c:ptCount val="10"/>
                <c:pt idx="0">
                  <c:v>WEST BENGAL</c:v>
                </c:pt>
                <c:pt idx="1">
                  <c:v>UTTAR PRADESH</c:v>
                </c:pt>
                <c:pt idx="2">
                  <c:v>MAHARASHTRA</c:v>
                </c:pt>
                <c:pt idx="3">
                  <c:v>TAMILNADU</c:v>
                </c:pt>
                <c:pt idx="4">
                  <c:v>GUJARAT</c:v>
                </c:pt>
                <c:pt idx="5">
                  <c:v>MADHYA PRADESH</c:v>
                </c:pt>
                <c:pt idx="6">
                  <c:v>KARNATAKA</c:v>
                </c:pt>
                <c:pt idx="7">
                  <c:v>BIHAR</c:v>
                </c:pt>
                <c:pt idx="8">
                  <c:v>ANDHRA PRADESH</c:v>
                </c:pt>
                <c:pt idx="9">
                  <c:v>ODISHA</c:v>
                </c:pt>
              </c:strCache>
            </c:strRef>
          </c:cat>
          <c:val>
            <c:numRef>
              <c:f>'Graph-(6)'!$AH$6:$AH$15</c:f>
              <c:numCache>
                <c:formatCode>0%</c:formatCode>
                <c:ptCount val="10"/>
                <c:pt idx="0">
                  <c:v>9.6874055864486414E-2</c:v>
                </c:pt>
                <c:pt idx="1">
                  <c:v>9.4563727881493684E-2</c:v>
                </c:pt>
                <c:pt idx="2">
                  <c:v>8.8151775451600758E-2</c:v>
                </c:pt>
                <c:pt idx="3">
                  <c:v>8.4911036421989328E-2</c:v>
                </c:pt>
                <c:pt idx="4">
                  <c:v>7.5573474289553424E-2</c:v>
                </c:pt>
                <c:pt idx="5">
                  <c:v>7.2833712308230686E-2</c:v>
                </c:pt>
                <c:pt idx="6">
                  <c:v>7.0653194198386657E-2</c:v>
                </c:pt>
                <c:pt idx="7">
                  <c:v>7.0502485026973399E-2</c:v>
                </c:pt>
                <c:pt idx="8">
                  <c:v>5.1568244047102779E-2</c:v>
                </c:pt>
                <c:pt idx="9">
                  <c:v>4.3910243989043869E-2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Top Five Fruit Producung States (2013-14 3rd est.)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2.889293525809274E-2"/>
                  <c:y val="1.358705161854797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ANDHRA PRADESH
16.4%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554899387580187E-2"/>
                  <c:y val="-0.28650444736075203"/>
                </c:manualLayout>
              </c:layout>
              <c:tx>
                <c:rich>
                  <a:bodyPr/>
                  <a:lstStyle/>
                  <a:p>
                    <a:pPr>
                      <a:defRPr lang="en-US" sz="900" b="1"/>
                    </a:pPr>
                    <a:r>
                      <a:rPr lang="en-US" sz="900" b="1"/>
                      <a:t>MAHARASHTRA
12.8%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GUJARAT
9.7%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b="1"/>
                      <a:t>UTTAR PRADESH
8.5%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KARNATAKA
7.9%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'Graph-(7).'!$A$4:$A$8</c:f>
              <c:strCache>
                <c:ptCount val="5"/>
                <c:pt idx="0">
                  <c:v>ANDHRA PRADESH</c:v>
                </c:pt>
                <c:pt idx="1">
                  <c:v>MAHARASHTRA</c:v>
                </c:pt>
                <c:pt idx="2">
                  <c:v>GUJARAT</c:v>
                </c:pt>
                <c:pt idx="3">
                  <c:v>TAMILNADU</c:v>
                </c:pt>
                <c:pt idx="4">
                  <c:v>UTTAR PRADESH</c:v>
                </c:pt>
              </c:strCache>
            </c:strRef>
          </c:cat>
          <c:val>
            <c:numRef>
              <c:f>'Graph-(7).'!$D$4:$D$8</c:f>
              <c:numCache>
                <c:formatCode>0.0</c:formatCode>
                <c:ptCount val="5"/>
                <c:pt idx="0">
                  <c:v>16.377468430628294</c:v>
                </c:pt>
                <c:pt idx="1">
                  <c:v>12.821580643229296</c:v>
                </c:pt>
                <c:pt idx="2">
                  <c:v>9.6900950072042225</c:v>
                </c:pt>
                <c:pt idx="3">
                  <c:v>8.4886419514755342</c:v>
                </c:pt>
                <c:pt idx="4">
                  <c:v>7.9328105360700851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95250</xdr:rowOff>
    </xdr:from>
    <xdr:to>
      <xdr:col>4</xdr:col>
      <xdr:colOff>142875</xdr:colOff>
      <xdr:row>32</xdr:row>
      <xdr:rowOff>95250</xdr:rowOff>
    </xdr:to>
    <xdr:graphicFrame macro="">
      <xdr:nvGraphicFramePr>
        <xdr:cNvPr id="245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38100</xdr:rowOff>
    </xdr:from>
    <xdr:to>
      <xdr:col>5</xdr:col>
      <xdr:colOff>266700</xdr:colOff>
      <xdr:row>38</xdr:row>
      <xdr:rowOff>123825</xdr:rowOff>
    </xdr:to>
    <xdr:graphicFrame macro="">
      <xdr:nvGraphicFramePr>
        <xdr:cNvPr id="266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152400</xdr:rowOff>
    </xdr:from>
    <xdr:to>
      <xdr:col>4</xdr:col>
      <xdr:colOff>57150</xdr:colOff>
      <xdr:row>30</xdr:row>
      <xdr:rowOff>47625</xdr:rowOff>
    </xdr:to>
    <xdr:graphicFrame macro="">
      <xdr:nvGraphicFramePr>
        <xdr:cNvPr id="286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152400</xdr:rowOff>
    </xdr:from>
    <xdr:to>
      <xdr:col>5</xdr:col>
      <xdr:colOff>600075</xdr:colOff>
      <xdr:row>28</xdr:row>
      <xdr:rowOff>38100</xdr:rowOff>
    </xdr:to>
    <xdr:graphicFrame macro="">
      <xdr:nvGraphicFramePr>
        <xdr:cNvPr id="307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38100</xdr:rowOff>
    </xdr:from>
    <xdr:to>
      <xdr:col>4</xdr:col>
      <xdr:colOff>247650</xdr:colOff>
      <xdr:row>28</xdr:row>
      <xdr:rowOff>28575</xdr:rowOff>
    </xdr:to>
    <xdr:graphicFrame macro="">
      <xdr:nvGraphicFramePr>
        <xdr:cNvPr id="32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8</xdr:col>
      <xdr:colOff>447675</xdr:colOff>
      <xdr:row>20</xdr:row>
      <xdr:rowOff>0</xdr:rowOff>
    </xdr:to>
    <xdr:graphicFrame macro="">
      <xdr:nvGraphicFramePr>
        <xdr:cNvPr id="348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142875</xdr:colOff>
      <xdr:row>2</xdr:row>
      <xdr:rowOff>114300</xdr:rowOff>
    </xdr:from>
    <xdr:to>
      <xdr:col>28</xdr:col>
      <xdr:colOff>447675</xdr:colOff>
      <xdr:row>21</xdr:row>
      <xdr:rowOff>171450</xdr:rowOff>
    </xdr:to>
    <xdr:graphicFrame macro="">
      <xdr:nvGraphicFramePr>
        <xdr:cNvPr id="348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314325</xdr:colOff>
      <xdr:row>4</xdr:row>
      <xdr:rowOff>114300</xdr:rowOff>
    </xdr:from>
    <xdr:to>
      <xdr:col>42</xdr:col>
      <xdr:colOff>523875</xdr:colOff>
      <xdr:row>18</xdr:row>
      <xdr:rowOff>57150</xdr:rowOff>
    </xdr:to>
    <xdr:graphicFrame macro="">
      <xdr:nvGraphicFramePr>
        <xdr:cNvPr id="348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142875</xdr:rowOff>
    </xdr:from>
    <xdr:to>
      <xdr:col>12</xdr:col>
      <xdr:colOff>323850</xdr:colOff>
      <xdr:row>17</xdr:row>
      <xdr:rowOff>85725</xdr:rowOff>
    </xdr:to>
    <xdr:graphicFrame macro="">
      <xdr:nvGraphicFramePr>
        <xdr:cNvPr id="389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47625</xdr:rowOff>
    </xdr:from>
    <xdr:to>
      <xdr:col>12</xdr:col>
      <xdr:colOff>200025</xdr:colOff>
      <xdr:row>16</xdr:row>
      <xdr:rowOff>133350</xdr:rowOff>
    </xdr:to>
    <xdr:graphicFrame macro="">
      <xdr:nvGraphicFramePr>
        <xdr:cNvPr id="40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152400</xdr:rowOff>
    </xdr:from>
    <xdr:to>
      <xdr:col>4</xdr:col>
      <xdr:colOff>57150</xdr:colOff>
      <xdr:row>28</xdr:row>
      <xdr:rowOff>47625</xdr:rowOff>
    </xdr:to>
    <xdr:graphicFrame macro="">
      <xdr:nvGraphicFramePr>
        <xdr:cNvPr id="43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\Contacts\Downloads\Copy%20of%202013-14(Fin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\Contacts\Downloads\3rd_Advance_Estimates%20(2013-14%20Dated%2029.8.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Horticulture\Desktop\12-13%20&amp;%2013-14%20data%20released\2013-14\12-13%20&amp;%2013-14%20data%20released\13-14(2nd%20adv%20est)\2nd_Advance_Estimates_2013-14-21.5.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Horticulture\Desktop\12-13%20&amp;%2013-14%20data%20released\2013-14\3rd_Advance_Estimates%20(2013-14%20Dated%2029.8.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Horticulture 2013-14(Final)"/>
      <sheetName val="Yearwise Horticulture"/>
      <sheetName val=" Fruits 2013-14(Final)"/>
      <sheetName val=" Citrus 2013-14(Final)"/>
      <sheetName val="Vegetables 2013-14(Final)"/>
      <sheetName val=" Plantations 2013-14(Final)"/>
      <sheetName val=" Spices 2013-14(Final)"/>
      <sheetName val=" Flowers 2013-14(Final)"/>
      <sheetName val="Sheet9"/>
      <sheetName val="Sheet10"/>
      <sheetName val="Sheet11"/>
      <sheetName val="3rd Horticulture 2013-14"/>
      <sheetName val="3rd Fruits 2013-14"/>
      <sheetName val="3rd Citrus 2013-14"/>
      <sheetName val="3rd Vegetables 2013-14"/>
      <sheetName val="3rd Plantations 2013-14"/>
      <sheetName val="3rd Spices 2013-14"/>
      <sheetName val="Com. Hort."/>
      <sheetName val="Com. Furits"/>
      <sheetName val="Com. Citrus"/>
      <sheetName val="Com.Veg."/>
      <sheetName val="Com.Plantation"/>
      <sheetName val="Com.Spices"/>
      <sheetName val="Sheet1"/>
      <sheetName val="Graph-(1)"/>
      <sheetName val="Graph-(2)"/>
      <sheetName val="Graph-(3)"/>
      <sheetName val="Graph-(4)"/>
      <sheetName val="Graph-(5)"/>
      <sheetName val="Graph-(6)"/>
      <sheetName val="Graph-(7)."/>
      <sheetName val="Graph-(8)"/>
      <sheetName val="trends across est."/>
      <sheetName val="Graph-(7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J19">
            <v>0</v>
          </cell>
          <cell r="K1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of Contents"/>
      <sheetName val="Summary"/>
      <sheetName val="3rd Horticulture 2013-14"/>
      <sheetName val="Yearwise Horticulture"/>
      <sheetName val="3rd Fruits 2013-14"/>
      <sheetName val="3rd Citrus 2013-14"/>
      <sheetName val="3rd Vegetables 2013-14"/>
      <sheetName val="3rd Plantations 2013-14"/>
      <sheetName val="3rd Spices 2013-14"/>
      <sheetName val="3rd Flowers 2013-14"/>
      <sheetName val="Sheet1"/>
      <sheetName val="Graph-(1)"/>
      <sheetName val="Graph-(2)"/>
      <sheetName val="Graph-(3)"/>
      <sheetName val="Graph-(4)"/>
      <sheetName val="Graph-(5)"/>
      <sheetName val="Graph-(6)"/>
      <sheetName val="Graph-(7)."/>
      <sheetName val="Graph-(8)"/>
      <sheetName val="trends across est.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B3">
            <v>3.5500000000000003</v>
          </cell>
          <cell r="BC3">
            <v>29.73</v>
          </cell>
        </row>
        <row r="4">
          <cell r="BB4">
            <v>973.80200000000002</v>
          </cell>
          <cell r="BC4">
            <v>14219.305999999999</v>
          </cell>
        </row>
        <row r="5">
          <cell r="BB5">
            <v>89.080999999999989</v>
          </cell>
          <cell r="BC5">
            <v>322.15699999999998</v>
          </cell>
        </row>
        <row r="6">
          <cell r="BB6">
            <v>153.96199999999999</v>
          </cell>
          <cell r="BC6">
            <v>2210.2399999999998</v>
          </cell>
        </row>
        <row r="7">
          <cell r="BB7">
            <v>306.68</v>
          </cell>
          <cell r="BC7">
            <v>4487.1089999999995</v>
          </cell>
        </row>
        <row r="8">
          <cell r="BB8">
            <v>212.87999999999997</v>
          </cell>
          <cell r="BC8">
            <v>1930.1799999999998</v>
          </cell>
        </row>
        <row r="9">
          <cell r="BB9">
            <v>0</v>
          </cell>
          <cell r="BC9">
            <v>0</v>
          </cell>
        </row>
        <row r="10">
          <cell r="BB10">
            <v>0</v>
          </cell>
          <cell r="BC10">
            <v>0</v>
          </cell>
        </row>
        <row r="11">
          <cell r="BB11">
            <v>0</v>
          </cell>
          <cell r="BC11">
            <v>0</v>
          </cell>
        </row>
        <row r="12">
          <cell r="BB12">
            <v>11.276999999999999</v>
          </cell>
          <cell r="BC12">
            <v>81.191000000000003</v>
          </cell>
        </row>
        <row r="13">
          <cell r="BB13">
            <v>381.5</v>
          </cell>
          <cell r="BC13">
            <v>8413.17</v>
          </cell>
        </row>
        <row r="14">
          <cell r="BB14">
            <v>50.53</v>
          </cell>
          <cell r="BC14">
            <v>552.47</v>
          </cell>
        </row>
        <row r="15">
          <cell r="BB15">
            <v>218.02999999999997</v>
          </cell>
          <cell r="BC15">
            <v>866.34400000000005</v>
          </cell>
        </row>
        <row r="16">
          <cell r="BB16">
            <v>355.53400000000005</v>
          </cell>
          <cell r="BC16">
            <v>2072.6769999999997</v>
          </cell>
        </row>
        <row r="17">
          <cell r="BB17">
            <v>93.169999999999987</v>
          </cell>
          <cell r="BC17">
            <v>890.03499999999997</v>
          </cell>
        </row>
        <row r="18">
          <cell r="BB18">
            <v>396</v>
          </cell>
          <cell r="BC18">
            <v>6651.5999999999995</v>
          </cell>
        </row>
        <row r="19">
          <cell r="BB19">
            <v>314.55700000000002</v>
          </cell>
          <cell r="BC19">
            <v>2584.0119999999997</v>
          </cell>
        </row>
        <row r="20">
          <cell r="BB20">
            <v>0.22200000000000003</v>
          </cell>
          <cell r="BC20">
            <v>0.48344999999999999</v>
          </cell>
        </row>
        <row r="21">
          <cell r="BB21">
            <v>203.78900000000002</v>
          </cell>
          <cell r="BC21">
            <v>5691.9000000000005</v>
          </cell>
        </row>
        <row r="22">
          <cell r="BB22">
            <v>1565</v>
          </cell>
          <cell r="BC22">
            <v>11132</v>
          </cell>
        </row>
        <row r="23">
          <cell r="BB23">
            <v>54.05</v>
          </cell>
          <cell r="BC23">
            <v>515.69000000000005</v>
          </cell>
        </row>
        <row r="24">
          <cell r="BB24">
            <v>35.296999999999997</v>
          </cell>
          <cell r="BC24">
            <v>348.30199999999996</v>
          </cell>
        </row>
        <row r="25">
          <cell r="BB25">
            <v>57.893000000000001</v>
          </cell>
          <cell r="BC25">
            <v>344.42999999999995</v>
          </cell>
        </row>
        <row r="26">
          <cell r="BB26">
            <v>40.160000000000004</v>
          </cell>
          <cell r="BC26">
            <v>375.74</v>
          </cell>
        </row>
        <row r="27">
          <cell r="BB27">
            <v>325.86</v>
          </cell>
          <cell r="BC27">
            <v>2148.27</v>
          </cell>
        </row>
        <row r="28">
          <cell r="BB28">
            <v>0.64100000000000013</v>
          </cell>
          <cell r="BC28">
            <v>12.578999999999999</v>
          </cell>
        </row>
        <row r="29">
          <cell r="BB29">
            <v>76.949999999999989</v>
          </cell>
          <cell r="BC29">
            <v>1528.6100000000001</v>
          </cell>
        </row>
        <row r="30">
          <cell r="BB30">
            <v>57.120000000000005</v>
          </cell>
          <cell r="BC30">
            <v>778.45</v>
          </cell>
        </row>
        <row r="31">
          <cell r="BB31">
            <v>16.024000000000001</v>
          </cell>
          <cell r="BC31">
            <v>24.041</v>
          </cell>
        </row>
        <row r="32">
          <cell r="BB32">
            <v>328.55000000000007</v>
          </cell>
          <cell r="BC32">
            <v>7369.86</v>
          </cell>
        </row>
        <row r="33">
          <cell r="BB33">
            <v>60.570000000000014</v>
          </cell>
          <cell r="BC33">
            <v>638.78009999999995</v>
          </cell>
        </row>
        <row r="34">
          <cell r="BB34">
            <v>378.96499999999997</v>
          </cell>
          <cell r="BC34">
            <v>6887.4539999999997</v>
          </cell>
        </row>
        <row r="35">
          <cell r="BB35">
            <v>200.851</v>
          </cell>
          <cell r="BC35">
            <v>805.66800000000001</v>
          </cell>
        </row>
        <row r="36">
          <cell r="BB36">
            <v>223.49999999999997</v>
          </cell>
          <cell r="BC36">
            <v>2909.71</v>
          </cell>
        </row>
      </sheetData>
      <sheetData sheetId="5">
        <row r="3">
          <cell r="J3">
            <v>0.35000000000000003</v>
          </cell>
          <cell r="K3">
            <v>2.2999999999999998</v>
          </cell>
        </row>
        <row r="5">
          <cell r="J5">
            <v>39.875999999999998</v>
          </cell>
          <cell r="K5">
            <v>182.1</v>
          </cell>
        </row>
        <row r="6">
          <cell r="J6">
            <v>31.105999999999998</v>
          </cell>
          <cell r="K6">
            <v>348.04899999999998</v>
          </cell>
        </row>
        <row r="7">
          <cell r="J7">
            <v>18.161999999999999</v>
          </cell>
          <cell r="K7">
            <v>136.41200000000001</v>
          </cell>
        </row>
        <row r="8">
          <cell r="J8">
            <v>11.81</v>
          </cell>
          <cell r="K8">
            <v>80.62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40.799999999999997</v>
          </cell>
          <cell r="K13">
            <v>433.12</v>
          </cell>
        </row>
        <row r="14">
          <cell r="J14">
            <v>19.399999999999999</v>
          </cell>
          <cell r="K14">
            <v>231.42</v>
          </cell>
        </row>
        <row r="15">
          <cell r="J15">
            <v>22.803999999999998</v>
          </cell>
          <cell r="K15">
            <v>22.273</v>
          </cell>
        </row>
        <row r="16">
          <cell r="J16">
            <v>14.215999999999999</v>
          </cell>
          <cell r="K16">
            <v>22.57</v>
          </cell>
        </row>
        <row r="17">
          <cell r="J17">
            <v>8.82</v>
          </cell>
          <cell r="K17">
            <v>87.668999999999997</v>
          </cell>
        </row>
        <row r="18">
          <cell r="J18">
            <v>17.3</v>
          </cell>
          <cell r="K18">
            <v>379.20000000000005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71.808000000000007</v>
          </cell>
          <cell r="K21">
            <v>1241</v>
          </cell>
        </row>
        <row r="22">
          <cell r="J22">
            <v>275</v>
          </cell>
          <cell r="K22">
            <v>1148</v>
          </cell>
        </row>
        <row r="23">
          <cell r="J23">
            <v>11</v>
          </cell>
          <cell r="K23">
            <v>93.85</v>
          </cell>
        </row>
        <row r="24">
          <cell r="J24">
            <v>11.468</v>
          </cell>
          <cell r="K24">
            <v>49.600000000000009</v>
          </cell>
        </row>
        <row r="25">
          <cell r="J25">
            <v>25.227999999999998</v>
          </cell>
          <cell r="K25">
            <v>77.694000000000003</v>
          </cell>
        </row>
        <row r="26">
          <cell r="J26">
            <v>7.76</v>
          </cell>
          <cell r="K26">
            <v>68.08</v>
          </cell>
        </row>
        <row r="27">
          <cell r="J27">
            <v>27.52</v>
          </cell>
          <cell r="K27">
            <v>268.01</v>
          </cell>
        </row>
        <row r="28">
          <cell r="J28">
            <v>1.2999999999999999E-2</v>
          </cell>
          <cell r="K28">
            <v>0.104</v>
          </cell>
        </row>
        <row r="29">
          <cell r="J29">
            <v>50.69</v>
          </cell>
          <cell r="K29">
            <v>1029.8500000000001</v>
          </cell>
        </row>
        <row r="30">
          <cell r="J30">
            <v>31.68</v>
          </cell>
          <cell r="K30">
            <v>504.14</v>
          </cell>
        </row>
        <row r="31">
          <cell r="J31">
            <v>10.282</v>
          </cell>
          <cell r="K31">
            <v>16.855</v>
          </cell>
        </row>
        <row r="32">
          <cell r="J32">
            <v>11.419999999999998</v>
          </cell>
          <cell r="K32">
            <v>39.700000000000003</v>
          </cell>
        </row>
        <row r="33">
          <cell r="J33">
            <v>9.6999999999999993</v>
          </cell>
          <cell r="K33">
            <v>47.0501</v>
          </cell>
        </row>
        <row r="34">
          <cell r="J34">
            <v>0.56399999999999995</v>
          </cell>
          <cell r="K34">
            <v>1.6259999999999999</v>
          </cell>
        </row>
        <row r="35">
          <cell r="J35">
            <v>27.965</v>
          </cell>
          <cell r="K35">
            <v>138.98599999999999</v>
          </cell>
        </row>
        <row r="36">
          <cell r="J36">
            <v>11.879999999999999</v>
          </cell>
          <cell r="K36">
            <v>111</v>
          </cell>
        </row>
      </sheetData>
      <sheetData sheetId="6">
        <row r="3">
          <cell r="AT3">
            <v>6.89</v>
          </cell>
          <cell r="AU3">
            <v>51.79</v>
          </cell>
        </row>
        <row r="4">
          <cell r="AT4">
            <v>710.30799999999999</v>
          </cell>
          <cell r="AU4">
            <v>12422.057999999999</v>
          </cell>
        </row>
        <row r="5">
          <cell r="AT5">
            <v>1.4</v>
          </cell>
          <cell r="AU5">
            <v>35</v>
          </cell>
        </row>
        <row r="6">
          <cell r="AT6">
            <v>291.00200000000001</v>
          </cell>
          <cell r="AU6">
            <v>3479.9360000000001</v>
          </cell>
        </row>
        <row r="7">
          <cell r="AT7">
            <v>870.74199999999996</v>
          </cell>
          <cell r="AU7">
            <v>16257.857999999997</v>
          </cell>
        </row>
        <row r="8">
          <cell r="AT8">
            <v>403.43000000000006</v>
          </cell>
          <cell r="AU8">
            <v>5465.9199999999992</v>
          </cell>
        </row>
        <row r="9">
          <cell r="AT9">
            <v>1.1000000000000001</v>
          </cell>
          <cell r="AU9">
            <v>5.5</v>
          </cell>
        </row>
        <row r="10">
          <cell r="AT10">
            <v>0</v>
          </cell>
          <cell r="AU10">
            <v>0</v>
          </cell>
        </row>
        <row r="11">
          <cell r="AT11">
            <v>27.295999999999999</v>
          </cell>
          <cell r="AU11">
            <v>436.94799999999998</v>
          </cell>
        </row>
        <row r="12">
          <cell r="AT12">
            <v>7.0039999999999996</v>
          </cell>
          <cell r="AU12">
            <v>79.92</v>
          </cell>
        </row>
        <row r="13">
          <cell r="AT13">
            <v>573.72</v>
          </cell>
          <cell r="AU13">
            <v>11304.481999999998</v>
          </cell>
        </row>
        <row r="14">
          <cell r="AT14">
            <v>373.17000000000007</v>
          </cell>
          <cell r="AU14">
            <v>5563.34</v>
          </cell>
        </row>
        <row r="15">
          <cell r="AT15">
            <v>78.98599999999999</v>
          </cell>
          <cell r="AU15">
            <v>1514.432</v>
          </cell>
        </row>
        <row r="16">
          <cell r="AT16">
            <v>63.056999999999988</v>
          </cell>
          <cell r="AU16">
            <v>1395.4720000000002</v>
          </cell>
        </row>
        <row r="17">
          <cell r="AT17">
            <v>313.60969999999998</v>
          </cell>
          <cell r="AU17">
            <v>4238.1339999999991</v>
          </cell>
        </row>
        <row r="18">
          <cell r="AT18">
            <v>418.79999999999995</v>
          </cell>
          <cell r="AU18">
            <v>7500.7</v>
          </cell>
        </row>
        <row r="19">
          <cell r="AT19">
            <v>145.99900000000002</v>
          </cell>
          <cell r="AU19">
            <v>3445.58</v>
          </cell>
        </row>
        <row r="20">
          <cell r="AT20">
            <v>0.2505</v>
          </cell>
          <cell r="AU20">
            <v>0.33059000000000005</v>
          </cell>
        </row>
        <row r="21">
          <cell r="AT21">
            <v>628.43200000000013</v>
          </cell>
          <cell r="AU21">
            <v>12930.5</v>
          </cell>
        </row>
        <row r="22">
          <cell r="AT22">
            <v>726</v>
          </cell>
          <cell r="AU22">
            <v>10416</v>
          </cell>
        </row>
        <row r="23">
          <cell r="AT23">
            <v>25.19</v>
          </cell>
          <cell r="AU23">
            <v>271.03999999999996</v>
          </cell>
        </row>
        <row r="24">
          <cell r="AT24">
            <v>41.416000000000011</v>
          </cell>
          <cell r="AU24">
            <v>427.89699999999993</v>
          </cell>
        </row>
        <row r="25">
          <cell r="AT25">
            <v>42.872000000000007</v>
          </cell>
          <cell r="AU25">
            <v>260.52200000000005</v>
          </cell>
        </row>
        <row r="26">
          <cell r="AT26">
            <v>52.47999999999999</v>
          </cell>
          <cell r="AU26">
            <v>483.39</v>
          </cell>
        </row>
        <row r="27">
          <cell r="AT27">
            <v>677.33</v>
          </cell>
          <cell r="AU27">
            <v>9433.6600000000017</v>
          </cell>
        </row>
        <row r="28">
          <cell r="AT28">
            <v>0.90400000000000003</v>
          </cell>
          <cell r="AU28">
            <v>16.259</v>
          </cell>
        </row>
        <row r="29">
          <cell r="AT29">
            <v>191.00000000000003</v>
          </cell>
          <cell r="AU29">
            <v>3922.2799999999997</v>
          </cell>
        </row>
        <row r="30">
          <cell r="AT30">
            <v>165.17000000000002</v>
          </cell>
          <cell r="AU30">
            <v>1705.0900000000001</v>
          </cell>
        </row>
        <row r="31">
          <cell r="AT31">
            <v>26.021000000000001</v>
          </cell>
          <cell r="AU31">
            <v>134.05699999999999</v>
          </cell>
        </row>
        <row r="32">
          <cell r="AT32">
            <v>289.74</v>
          </cell>
          <cell r="AU32">
            <v>8678.8200000000015</v>
          </cell>
        </row>
        <row r="33">
          <cell r="AT33">
            <v>45.58</v>
          </cell>
          <cell r="AU33">
            <v>760.16000000000008</v>
          </cell>
        </row>
        <row r="34">
          <cell r="AT34">
            <v>897.24599999999998</v>
          </cell>
          <cell r="AU34">
            <v>19430.770000000004</v>
          </cell>
        </row>
        <row r="35">
          <cell r="AT35">
            <v>88.032999999999987</v>
          </cell>
          <cell r="AU35">
            <v>1059.5709999999999</v>
          </cell>
        </row>
        <row r="36">
          <cell r="AT36">
            <v>1383.05</v>
          </cell>
          <cell r="AU36">
            <v>25014.950000000004</v>
          </cell>
        </row>
      </sheetData>
      <sheetData sheetId="7">
        <row r="3">
          <cell r="J3">
            <v>27.33</v>
          </cell>
          <cell r="K3">
            <v>95.710000000000008</v>
          </cell>
        </row>
        <row r="4">
          <cell r="J4">
            <v>341.16800000000001</v>
          </cell>
          <cell r="K4">
            <v>1483.5700000000002</v>
          </cell>
        </row>
        <row r="5">
          <cell r="J5">
            <v>1</v>
          </cell>
          <cell r="K5">
            <v>0.56000000000000005</v>
          </cell>
        </row>
        <row r="6">
          <cell r="J6">
            <v>97.435000000000002</v>
          </cell>
          <cell r="K6">
            <v>183.94</v>
          </cell>
        </row>
        <row r="7">
          <cell r="J7">
            <v>15.263</v>
          </cell>
          <cell r="K7">
            <v>96.926000000000002</v>
          </cell>
        </row>
        <row r="8">
          <cell r="J8">
            <v>18.52</v>
          </cell>
          <cell r="K8">
            <v>25.58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85.449999999999989</v>
          </cell>
          <cell r="K12">
            <v>123.4</v>
          </cell>
        </row>
        <row r="13">
          <cell r="J13">
            <v>29.09</v>
          </cell>
          <cell r="K13">
            <v>246.4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15</v>
          </cell>
          <cell r="K17">
            <v>1.2</v>
          </cell>
        </row>
        <row r="18">
          <cell r="J18">
            <v>874.46299999999997</v>
          </cell>
          <cell r="K18">
            <v>3910.982</v>
          </cell>
        </row>
        <row r="19">
          <cell r="J19">
            <v>998.66500000000008</v>
          </cell>
          <cell r="K19">
            <v>4193.1899999999996</v>
          </cell>
        </row>
        <row r="20">
          <cell r="J20">
            <v>2.57</v>
          </cell>
          <cell r="K20">
            <v>48.8</v>
          </cell>
        </row>
        <row r="21">
          <cell r="J21">
            <v>0</v>
          </cell>
          <cell r="K21">
            <v>0</v>
          </cell>
        </row>
        <row r="22">
          <cell r="J22">
            <v>214.48199999999997</v>
          </cell>
          <cell r="K22">
            <v>375.21000000000004</v>
          </cell>
        </row>
        <row r="23">
          <cell r="J23">
            <v>0</v>
          </cell>
          <cell r="K23">
            <v>0</v>
          </cell>
        </row>
        <row r="24">
          <cell r="J24">
            <v>23.119999999999997</v>
          </cell>
          <cell r="K24">
            <v>29.939999999999998</v>
          </cell>
        </row>
        <row r="25">
          <cell r="J25">
            <v>7.6319999999999997</v>
          </cell>
          <cell r="K25">
            <v>4.4340000000000002</v>
          </cell>
        </row>
        <row r="26">
          <cell r="J26">
            <v>1.6199999999999999</v>
          </cell>
          <cell r="K26">
            <v>11.319999999999999</v>
          </cell>
        </row>
        <row r="27">
          <cell r="J27">
            <v>217.69</v>
          </cell>
          <cell r="K27">
            <v>577.71</v>
          </cell>
        </row>
        <row r="28">
          <cell r="J28">
            <v>2.0179999999999998</v>
          </cell>
          <cell r="K28">
            <v>23.54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634.577</v>
          </cell>
          <cell r="K32">
            <v>4842.3310000000001</v>
          </cell>
        </row>
        <row r="33">
          <cell r="J33">
            <v>15.38</v>
          </cell>
          <cell r="K33">
            <v>34.019999999999996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51.85</v>
          </cell>
          <cell r="K36">
            <v>289.40999999999997</v>
          </cell>
        </row>
      </sheetData>
      <sheetData sheetId="8">
        <row r="3">
          <cell r="AJ3">
            <v>1.6749999999999998</v>
          </cell>
          <cell r="AK3">
            <v>3.2199999999999998</v>
          </cell>
        </row>
        <row r="4">
          <cell r="AJ4">
            <v>302.29699999999991</v>
          </cell>
          <cell r="AK4">
            <v>1217.04</v>
          </cell>
        </row>
        <row r="5">
          <cell r="AJ5">
            <v>10.17</v>
          </cell>
          <cell r="AK5">
            <v>64.27000000000001</v>
          </cell>
        </row>
        <row r="6">
          <cell r="AJ6">
            <v>96.658999999999992</v>
          </cell>
          <cell r="AK6">
            <v>287.50000000000006</v>
          </cell>
        </row>
        <row r="7">
          <cell r="AJ7">
            <v>13.010000000000002</v>
          </cell>
          <cell r="AK7">
            <v>12.54</v>
          </cell>
        </row>
        <row r="8">
          <cell r="AJ8">
            <v>12.307</v>
          </cell>
          <cell r="AK8">
            <v>15.370000000000001</v>
          </cell>
        </row>
        <row r="9">
          <cell r="AJ9">
            <v>0.73</v>
          </cell>
          <cell r="AK9">
            <v>0.23</v>
          </cell>
        </row>
        <row r="10">
          <cell r="AJ10">
            <v>541.81500000000005</v>
          </cell>
          <cell r="AK10">
            <v>848.48</v>
          </cell>
        </row>
        <row r="11">
          <cell r="AJ11">
            <v>16.125</v>
          </cell>
          <cell r="AK11">
            <v>82.82</v>
          </cell>
        </row>
        <row r="12">
          <cell r="AJ12">
            <v>8.4300000000000015</v>
          </cell>
          <cell r="AK12">
            <v>14.16</v>
          </cell>
        </row>
        <row r="13">
          <cell r="AJ13">
            <v>4.944</v>
          </cell>
          <cell r="AK13">
            <v>1.07</v>
          </cell>
        </row>
        <row r="14">
          <cell r="AJ14">
            <v>0</v>
          </cell>
          <cell r="AK14">
            <v>0</v>
          </cell>
        </row>
        <row r="15">
          <cell r="AJ15">
            <v>216.26000000000002</v>
          </cell>
          <cell r="AK15">
            <v>381.28</v>
          </cell>
        </row>
        <row r="16">
          <cell r="AJ16">
            <v>166.95599999999999</v>
          </cell>
          <cell r="AK16">
            <v>114.06</v>
          </cell>
        </row>
        <row r="17">
          <cell r="AJ17">
            <v>284.90999999999997</v>
          </cell>
          <cell r="AK17">
            <v>454.16999999999996</v>
          </cell>
        </row>
        <row r="18">
          <cell r="AJ18">
            <v>120.76</v>
          </cell>
          <cell r="AK18">
            <v>109.04</v>
          </cell>
        </row>
        <row r="19">
          <cell r="AJ19">
            <v>10.47</v>
          </cell>
          <cell r="AK19">
            <v>24.14</v>
          </cell>
        </row>
        <row r="20">
          <cell r="AJ20">
            <v>17.389999999999997</v>
          </cell>
          <cell r="AK20">
            <v>74.809999999999988</v>
          </cell>
        </row>
        <row r="21">
          <cell r="AJ21">
            <v>22.470000000000002</v>
          </cell>
          <cell r="AK21">
            <v>59.61999999999999</v>
          </cell>
        </row>
        <row r="22">
          <cell r="AJ22">
            <v>9.77</v>
          </cell>
          <cell r="AK22">
            <v>39.159999999999997</v>
          </cell>
        </row>
        <row r="23">
          <cell r="AJ23">
            <v>123.32400000000001</v>
          </cell>
          <cell r="AK23">
            <v>181.5</v>
          </cell>
        </row>
        <row r="24">
          <cell r="AJ24">
            <v>0.09</v>
          </cell>
          <cell r="AK24">
            <v>0.38</v>
          </cell>
        </row>
        <row r="25">
          <cell r="AJ25">
            <v>19.149999999999999</v>
          </cell>
          <cell r="AK25">
            <v>70.92</v>
          </cell>
        </row>
        <row r="26">
          <cell r="AJ26">
            <v>866.31899999999996</v>
          </cell>
          <cell r="AK26">
            <v>785.68</v>
          </cell>
        </row>
        <row r="27">
          <cell r="AJ27">
            <v>32.06</v>
          </cell>
          <cell r="AK27">
            <v>55.8</v>
          </cell>
        </row>
        <row r="28">
          <cell r="AJ28">
            <v>165.99700000000001</v>
          </cell>
          <cell r="AK28">
            <v>554.52</v>
          </cell>
        </row>
        <row r="29">
          <cell r="AJ29">
            <v>5.69</v>
          </cell>
          <cell r="AK29">
            <v>18.04</v>
          </cell>
        </row>
        <row r="30">
          <cell r="AJ30">
            <v>60.472999999999992</v>
          </cell>
          <cell r="AK30">
            <v>213.28</v>
          </cell>
        </row>
        <row r="31">
          <cell r="AJ31">
            <v>8.0850000000000009</v>
          </cell>
          <cell r="AK31">
            <v>41.08</v>
          </cell>
        </row>
        <row r="32">
          <cell r="AJ32">
            <v>97.559999999999988</v>
          </cell>
          <cell r="AK32">
            <v>207.72</v>
          </cell>
        </row>
      </sheetData>
      <sheetData sheetId="9">
        <row r="4">
          <cell r="AL4">
            <v>0.13</v>
          </cell>
          <cell r="AM4">
            <v>0.29000000000000004</v>
          </cell>
          <cell r="AN4">
            <v>0</v>
          </cell>
        </row>
        <row r="5">
          <cell r="AL5">
            <v>36.071999999999996</v>
          </cell>
          <cell r="AM5">
            <v>251.12300000000002</v>
          </cell>
          <cell r="AN5">
            <v>55.063461538461539</v>
          </cell>
        </row>
        <row r="6">
          <cell r="AL6">
            <v>2.3099999999999999E-2</v>
          </cell>
          <cell r="AM6">
            <v>9.7999999999999997E-3</v>
          </cell>
          <cell r="AN6">
            <v>1.862686202686203</v>
          </cell>
        </row>
        <row r="7">
          <cell r="AL7">
            <v>2.9999999999999996</v>
          </cell>
          <cell r="AM7">
            <v>20</v>
          </cell>
          <cell r="AN7">
            <v>32.694856532356532</v>
          </cell>
        </row>
        <row r="8">
          <cell r="AL8">
            <v>0.82199999999999995</v>
          </cell>
          <cell r="AM8">
            <v>7.633</v>
          </cell>
          <cell r="AN8">
            <v>2.7435192307692309</v>
          </cell>
        </row>
        <row r="9">
          <cell r="AL9">
            <v>10.129999999999999</v>
          </cell>
          <cell r="AM9">
            <v>45.73</v>
          </cell>
          <cell r="AN9">
            <v>0</v>
          </cell>
        </row>
        <row r="10">
          <cell r="AL10">
            <v>0</v>
          </cell>
          <cell r="AM10">
            <v>0</v>
          </cell>
          <cell r="AN10">
            <v>0</v>
          </cell>
        </row>
        <row r="11">
          <cell r="AL11">
            <v>0</v>
          </cell>
          <cell r="AM11">
            <v>0</v>
          </cell>
          <cell r="AN11">
            <v>0</v>
          </cell>
        </row>
        <row r="12">
          <cell r="AL12">
            <v>5.5</v>
          </cell>
          <cell r="AM12">
            <v>5.7</v>
          </cell>
          <cell r="AN12">
            <v>5.7666666666666666</v>
          </cell>
        </row>
        <row r="13">
          <cell r="AL13">
            <v>6.5000000000000006E-3</v>
          </cell>
          <cell r="AM13">
            <v>2.3E-2</v>
          </cell>
          <cell r="AN13">
            <v>0.10041880341880342</v>
          </cell>
        </row>
        <row r="14">
          <cell r="AL14">
            <v>17.27</v>
          </cell>
          <cell r="AM14">
            <v>149.27000000000001</v>
          </cell>
          <cell r="AN14">
            <v>0</v>
          </cell>
        </row>
        <row r="15">
          <cell r="AL15">
            <v>6.48</v>
          </cell>
          <cell r="AM15">
            <v>65.45</v>
          </cell>
          <cell r="AN15">
            <v>11.247668650793649</v>
          </cell>
        </row>
        <row r="16">
          <cell r="AL16">
            <v>0.8256699999999999</v>
          </cell>
          <cell r="AM16">
            <v>28.141979999999997</v>
          </cell>
          <cell r="AN16">
            <v>12.358117384004883</v>
          </cell>
        </row>
        <row r="17">
          <cell r="AL17">
            <v>0.90074999999999983</v>
          </cell>
          <cell r="AM17">
            <v>0.40200000000000002</v>
          </cell>
          <cell r="AN17">
            <v>1.7307389499389498</v>
          </cell>
        </row>
        <row r="18">
          <cell r="AL18">
            <v>1.6</v>
          </cell>
          <cell r="AM18">
            <v>22.026</v>
          </cell>
          <cell r="AN18">
            <v>9.5055555555555564</v>
          </cell>
        </row>
        <row r="19">
          <cell r="AL19">
            <v>30.6</v>
          </cell>
          <cell r="AM19">
            <v>211.5</v>
          </cell>
          <cell r="AN19">
            <v>71.525856532356528</v>
          </cell>
        </row>
        <row r="20">
          <cell r="AL20">
            <v>0</v>
          </cell>
          <cell r="AM20">
            <v>0</v>
          </cell>
          <cell r="AN20">
            <v>0</v>
          </cell>
        </row>
        <row r="21">
          <cell r="AL21">
            <v>0</v>
          </cell>
          <cell r="AM21">
            <v>0</v>
          </cell>
          <cell r="AN21">
            <v>0</v>
          </cell>
        </row>
        <row r="22">
          <cell r="AL22">
            <v>17.064</v>
          </cell>
          <cell r="AM22">
            <v>199.5</v>
          </cell>
          <cell r="AN22">
            <v>0</v>
          </cell>
        </row>
        <row r="23">
          <cell r="AL23">
            <v>23</v>
          </cell>
          <cell r="AM23">
            <v>120</v>
          </cell>
          <cell r="AN23">
            <v>43.966666666666669</v>
          </cell>
        </row>
        <row r="24">
          <cell r="AL24">
            <v>0.76100000000000001</v>
          </cell>
          <cell r="AM24">
            <v>0.28000000000000003</v>
          </cell>
          <cell r="AN24">
            <v>1.2313553113553113E-2</v>
          </cell>
        </row>
        <row r="25">
          <cell r="AL25">
            <v>1.2E-2</v>
          </cell>
          <cell r="AM25">
            <v>0</v>
          </cell>
          <cell r="AN25">
            <v>4.615384615384615</v>
          </cell>
        </row>
        <row r="26">
          <cell r="AL26">
            <v>0.23599999999999999</v>
          </cell>
          <cell r="AM26">
            <v>171.47</v>
          </cell>
          <cell r="AN26">
            <v>3.020169719169719</v>
          </cell>
        </row>
        <row r="27">
          <cell r="AL27">
            <v>9.8200000000000006E-3</v>
          </cell>
          <cell r="AM27">
            <v>0</v>
          </cell>
          <cell r="AN27">
            <v>0.39846141636141641</v>
          </cell>
        </row>
        <row r="28">
          <cell r="AL28">
            <v>7.4359999999999999</v>
          </cell>
          <cell r="AM28">
            <v>37.400999999999996</v>
          </cell>
          <cell r="AN28">
            <v>57.41346153846154</v>
          </cell>
        </row>
        <row r="29">
          <cell r="AL29">
            <v>0.14050000000000001</v>
          </cell>
          <cell r="AM29">
            <v>1.1970000000000001</v>
          </cell>
          <cell r="AN29">
            <v>0</v>
          </cell>
        </row>
        <row r="30">
          <cell r="AL30">
            <v>1.35</v>
          </cell>
          <cell r="AM30">
            <v>10.46</v>
          </cell>
          <cell r="AN30">
            <v>0</v>
          </cell>
        </row>
        <row r="31">
          <cell r="AL31">
            <v>3.43</v>
          </cell>
          <cell r="AM31">
            <v>3.72</v>
          </cell>
          <cell r="AN31">
            <v>0</v>
          </cell>
        </row>
        <row r="32">
          <cell r="AL32">
            <v>0.23599999999999999</v>
          </cell>
          <cell r="AM32">
            <v>28.2</v>
          </cell>
          <cell r="AN32">
            <v>1.7438614163614163</v>
          </cell>
        </row>
        <row r="33">
          <cell r="AL33">
            <v>30.89</v>
          </cell>
          <cell r="AM33">
            <v>343.65</v>
          </cell>
          <cell r="AN33">
            <v>7.1377777777777771</v>
          </cell>
        </row>
        <row r="34">
          <cell r="AL34">
            <v>0</v>
          </cell>
          <cell r="AM34">
            <v>0</v>
          </cell>
          <cell r="AN34">
            <v>0</v>
          </cell>
        </row>
        <row r="35">
          <cell r="AL35">
            <v>16.577999999999999</v>
          </cell>
          <cell r="AM35">
            <v>32.158999999999999</v>
          </cell>
          <cell r="AN35">
            <v>54.058653846153845</v>
          </cell>
        </row>
        <row r="36">
          <cell r="AL36">
            <v>1.5609999999999999</v>
          </cell>
          <cell r="AM36">
            <v>1.8240000000000001</v>
          </cell>
          <cell r="AN36">
            <v>20.183333333333334</v>
          </cell>
        </row>
        <row r="37">
          <cell r="AL37">
            <v>24.85</v>
          </cell>
          <cell r="AM37">
            <v>66.5</v>
          </cell>
          <cell r="AN37">
            <v>145.19444444444446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nd Horticulture 2013-14"/>
      <sheetName val="2nd Fruits 2013-14"/>
      <sheetName val="2nd Citrus 2013-14"/>
      <sheetName val="2nd Vegetables 2013-14"/>
      <sheetName val="2nd Plantations 2013-14"/>
      <sheetName val="2nd Spices 2013-14"/>
      <sheetName val="2nd Flowers 2013-14"/>
      <sheetName val="Graph-1"/>
      <sheetName val="Graph-2"/>
      <sheetName val="Graph-3"/>
      <sheetName val="Graph"/>
      <sheetName val="Graph-4"/>
      <sheetName val="Graph-5"/>
      <sheetName val="Graph-6"/>
      <sheetName val="Graph-7"/>
      <sheetName val="trends across est."/>
      <sheetName val="Sheet1"/>
    </sheetNames>
    <sheetDataSet>
      <sheetData sheetId="0">
        <row r="36">
          <cell r="B36">
            <v>6704.5626100000018</v>
          </cell>
          <cell r="C36">
            <v>76423.966480000003</v>
          </cell>
          <cell r="D36">
            <v>6982.0149999999994</v>
          </cell>
          <cell r="E36">
            <v>81285.333949999986</v>
          </cell>
          <cell r="F36">
            <v>7139.795000000001</v>
          </cell>
          <cell r="G36">
            <v>84426.141549999986</v>
          </cell>
          <cell r="H36">
            <v>7135.9470000000001</v>
          </cell>
          <cell r="I36">
            <v>84410.672549999988</v>
          </cell>
        </row>
        <row r="59">
          <cell r="B59">
            <v>8989.3515000000007</v>
          </cell>
          <cell r="C59">
            <v>156325.14900999999</v>
          </cell>
          <cell r="D59">
            <v>9205.1854999999996</v>
          </cell>
          <cell r="E59">
            <v>162186.56659</v>
          </cell>
          <cell r="F59">
            <v>9390.3424999999988</v>
          </cell>
          <cell r="G59">
            <v>168918.52859000003</v>
          </cell>
          <cell r="H59">
            <v>9608.5901999999987</v>
          </cell>
          <cell r="I59">
            <v>170248.14859000003</v>
          </cell>
        </row>
        <row r="72">
          <cell r="B72">
            <v>3576.5280000000002</v>
          </cell>
          <cell r="C72">
            <v>16358.682999999999</v>
          </cell>
          <cell r="D72">
            <v>3641.1379999999999</v>
          </cell>
          <cell r="E72">
            <v>16984.594999999998</v>
          </cell>
          <cell r="F72">
            <v>3683.2710000000002</v>
          </cell>
          <cell r="G72">
            <v>17433.870999999996</v>
          </cell>
          <cell r="H72">
            <v>3690.3040000000001</v>
          </cell>
          <cell r="I72">
            <v>17462.157999999999</v>
          </cell>
        </row>
        <row r="92">
          <cell r="B92">
            <v>3212.471</v>
          </cell>
          <cell r="C92">
            <v>5951.4579999999996</v>
          </cell>
          <cell r="D92">
            <v>3075.8989999999999</v>
          </cell>
          <cell r="E92">
            <v>5743.5240999999996</v>
          </cell>
          <cell r="F92">
            <v>3075.8989999999999</v>
          </cell>
          <cell r="G92">
            <v>5743.5240999999996</v>
          </cell>
          <cell r="H92">
            <v>3145.6960000000004</v>
          </cell>
          <cell r="I92">
            <v>5833.9399999999987</v>
          </cell>
        </row>
        <row r="93">
          <cell r="B93">
            <v>23242.160010000003</v>
          </cell>
          <cell r="C93">
            <v>257276.5704</v>
          </cell>
          <cell r="D93">
            <v>23694.144639999999</v>
          </cell>
          <cell r="E93">
            <v>268847.45347999997</v>
          </cell>
          <cell r="F93">
            <v>24092.933990000005</v>
          </cell>
          <cell r="G93">
            <v>279289.64809199999</v>
          </cell>
          <cell r="H93">
            <v>24303.358790000002</v>
          </cell>
          <cell r="I93">
            <v>280707.24532000005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3rd Horticulture 2013-14"/>
      <sheetName val="Yearwise Horticulture"/>
      <sheetName val="3rd Fruits 2013-14"/>
      <sheetName val="3rd Citrus 2013-14"/>
      <sheetName val="3rd Vegetables 2013-14"/>
      <sheetName val="3rd Plantations 2013-14"/>
      <sheetName val="3rd Spices 2013-14"/>
      <sheetName val="3rd Flowers 2013-14"/>
      <sheetName val="Sheet1"/>
      <sheetName val="Graph-(1)"/>
      <sheetName val="Graph-(2)"/>
      <sheetName val="Graph-(3)"/>
      <sheetName val="Graph-(4)"/>
      <sheetName val="Graph-(5)"/>
      <sheetName val="Graph-(6)"/>
      <sheetName val="Graph-(7)."/>
      <sheetName val="Graph-(8)"/>
      <sheetName val="trends across est."/>
      <sheetName val="Graph-(7)"/>
    </sheetNames>
    <sheetDataSet>
      <sheetData sheetId="0">
        <row r="36">
          <cell r="J36">
            <v>7185.9950000000008</v>
          </cell>
          <cell r="K36">
            <v>86822.188549999992</v>
          </cell>
        </row>
        <row r="59">
          <cell r="J59">
            <v>9567.2281999999996</v>
          </cell>
          <cell r="K59">
            <v>168142.36658999999</v>
          </cell>
        </row>
        <row r="61">
          <cell r="J61">
            <v>553.60099999999989</v>
          </cell>
          <cell r="K61">
            <v>931.49717999999996</v>
          </cell>
        </row>
        <row r="65">
          <cell r="J65">
            <v>240.91433999999995</v>
          </cell>
          <cell r="K65">
            <v>1823.6597800000004</v>
          </cell>
        </row>
        <row r="72">
          <cell r="J72">
            <v>3674.3230000000003</v>
          </cell>
          <cell r="K72">
            <v>16598.172999999999</v>
          </cell>
        </row>
        <row r="92">
          <cell r="J92">
            <v>3235.8959999999997</v>
          </cell>
          <cell r="K92">
            <v>5931.9</v>
          </cell>
        </row>
        <row r="93">
          <cell r="J93">
            <v>24457.957539999999</v>
          </cell>
          <cell r="K93">
            <v>280792.12917437422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pane xSplit="1" ySplit="7" topLeftCell="B101" activePane="bottomRight" state="frozen"/>
      <selection pane="topRight" activeCell="B1" sqref="B1"/>
      <selection pane="bottomLeft" activeCell="A8" sqref="A8"/>
      <selection pane="bottomRight" activeCell="D112" sqref="D112"/>
    </sheetView>
  </sheetViews>
  <sheetFormatPr defaultColWidth="13.42578125" defaultRowHeight="18.75" customHeight="1" x14ac:dyDescent="0.25"/>
  <cols>
    <col min="1" max="1" width="28" style="38" customWidth="1"/>
    <col min="2" max="5" width="17.5703125" style="38" customWidth="1"/>
    <col min="6" max="16384" width="13.42578125" style="38"/>
  </cols>
  <sheetData>
    <row r="1" spans="1:5" s="31" customFormat="1" ht="18.75" customHeight="1" x14ac:dyDescent="0.25">
      <c r="A1" s="242" t="s">
        <v>190</v>
      </c>
      <c r="B1" s="242"/>
      <c r="C1" s="242"/>
      <c r="D1" s="242"/>
      <c r="E1" s="242"/>
    </row>
    <row r="2" spans="1:5" s="26" customFormat="1" ht="18.75" customHeight="1" x14ac:dyDescent="0.25">
      <c r="A2" s="242"/>
      <c r="B2" s="242"/>
      <c r="C2" s="242"/>
      <c r="D2" s="242"/>
      <c r="E2" s="242"/>
    </row>
    <row r="3" spans="1:5" s="26" customFormat="1" ht="18.75" customHeight="1" x14ac:dyDescent="0.25">
      <c r="A3" s="240" t="s">
        <v>208</v>
      </c>
      <c r="B3" s="241"/>
      <c r="C3" s="241"/>
      <c r="D3" s="241"/>
      <c r="E3" s="241"/>
    </row>
    <row r="4" spans="1:5" s="26" customFormat="1" ht="18.75" customHeight="1" x14ac:dyDescent="0.25">
      <c r="A4" s="240" t="s">
        <v>209</v>
      </c>
      <c r="B4" s="241"/>
      <c r="C4" s="241"/>
      <c r="D4" s="241"/>
      <c r="E4" s="241"/>
    </row>
    <row r="5" spans="1:5" s="31" customFormat="1" ht="18.75" customHeight="1" x14ac:dyDescent="0.25">
      <c r="A5" s="32" t="s">
        <v>64</v>
      </c>
      <c r="B5" s="239" t="s">
        <v>206</v>
      </c>
      <c r="C5" s="239"/>
      <c r="D5" s="243" t="s">
        <v>207</v>
      </c>
      <c r="E5" s="243"/>
    </row>
    <row r="6" spans="1:5" s="31" customFormat="1" ht="18.75" customHeight="1" x14ac:dyDescent="0.25">
      <c r="A6" s="33"/>
      <c r="B6" s="243" t="s">
        <v>223</v>
      </c>
      <c r="C6" s="243"/>
      <c r="D6" s="243" t="s">
        <v>223</v>
      </c>
      <c r="E6" s="243"/>
    </row>
    <row r="7" spans="1:5" s="31" customFormat="1" ht="18.75" customHeight="1" x14ac:dyDescent="0.25">
      <c r="A7" s="230" t="s">
        <v>65</v>
      </c>
      <c r="B7" s="35" t="s">
        <v>203</v>
      </c>
      <c r="C7" s="35" t="s">
        <v>204</v>
      </c>
      <c r="D7" s="35" t="s">
        <v>203</v>
      </c>
      <c r="E7" s="35" t="s">
        <v>204</v>
      </c>
    </row>
    <row r="8" spans="1:5" ht="18.75" customHeight="1" x14ac:dyDescent="0.25">
      <c r="A8" s="36" t="s">
        <v>149</v>
      </c>
      <c r="B8" s="27">
        <v>21.396999999999998</v>
      </c>
      <c r="C8" s="27">
        <v>9.3420000000000005</v>
      </c>
      <c r="D8" s="37">
        <f>' Fruits 2013-14(Final)'!B39</f>
        <v>21.393999999999998</v>
      </c>
      <c r="E8" s="37">
        <f>' Fruits 2013-14(Final)'!C39</f>
        <v>12.744</v>
      </c>
    </row>
    <row r="9" spans="1:5" ht="18.75" customHeight="1" x14ac:dyDescent="0.25">
      <c r="A9" s="39" t="s">
        <v>220</v>
      </c>
      <c r="B9" s="28">
        <v>108.05800000000001</v>
      </c>
      <c r="C9" s="28">
        <v>1266.461</v>
      </c>
      <c r="D9" s="40">
        <f>' Fruits 2013-14(Final)'!D39</f>
        <v>103.54799999999999</v>
      </c>
      <c r="E9" s="40">
        <f>' Fruits 2013-14(Final)'!E39</f>
        <v>1225.211</v>
      </c>
    </row>
    <row r="10" spans="1:5" ht="18.75" customHeight="1" x14ac:dyDescent="0.25">
      <c r="A10" s="28" t="s">
        <v>67</v>
      </c>
      <c r="B10" s="28">
        <v>311.49700000000007</v>
      </c>
      <c r="C10" s="28">
        <v>1915.3749999999998</v>
      </c>
      <c r="D10" s="40">
        <f>' Fruits 2013-14(Final)'!F39</f>
        <v>313.04399999999998</v>
      </c>
      <c r="E10" s="40">
        <f>' Fruits 2013-14(Final)'!G39</f>
        <v>2497.6779999999999</v>
      </c>
    </row>
    <row r="11" spans="1:5" ht="18.75" customHeight="1" x14ac:dyDescent="0.25">
      <c r="A11" s="39" t="s">
        <v>68</v>
      </c>
      <c r="B11" s="28">
        <v>775.99500000000012</v>
      </c>
      <c r="C11" s="28">
        <v>26509.096000000005</v>
      </c>
      <c r="D11" s="40">
        <f>' Fruits 2013-14(Final)'!J39</f>
        <v>802.56600000000003</v>
      </c>
      <c r="E11" s="40">
        <f>' Fruits 2013-14(Final)'!K39</f>
        <v>29724.547999999995</v>
      </c>
    </row>
    <row r="12" spans="1:5" ht="18.75" customHeight="1" x14ac:dyDescent="0.25">
      <c r="A12" s="39" t="s">
        <v>138</v>
      </c>
      <c r="B12" s="28">
        <v>40.530999999999999</v>
      </c>
      <c r="C12" s="28">
        <v>438.01</v>
      </c>
      <c r="D12" s="40">
        <f>' Fruits 2013-14(Final)'!L39</f>
        <v>48.448</v>
      </c>
      <c r="E12" s="40">
        <f>' Fruits 2013-14(Final)'!M39</f>
        <v>662.95899999999995</v>
      </c>
    </row>
    <row r="13" spans="1:5" ht="18.75" customHeight="1" x14ac:dyDescent="0.25">
      <c r="A13" s="34" t="s">
        <v>139</v>
      </c>
      <c r="B13" s="28"/>
      <c r="C13" s="28"/>
      <c r="D13" s="40"/>
      <c r="E13" s="40"/>
    </row>
    <row r="14" spans="1:5" ht="18.75" customHeight="1" x14ac:dyDescent="0.25">
      <c r="A14" s="41" t="s">
        <v>140</v>
      </c>
      <c r="B14" s="28">
        <v>255.20699999999997</v>
      </c>
      <c r="C14" s="28">
        <v>2523.509</v>
      </c>
      <c r="D14" s="40">
        <f>' Citrus 2013-14(Final)'!B39</f>
        <v>286.41399999999999</v>
      </c>
      <c r="E14" s="40">
        <f>' Citrus 2013-14(Final)'!C39</f>
        <v>2835.018</v>
      </c>
    </row>
    <row r="15" spans="1:5" ht="18.75" customHeight="1" x14ac:dyDescent="0.25">
      <c r="A15" s="41" t="s">
        <v>162</v>
      </c>
      <c r="B15" s="28">
        <v>311.17599999999999</v>
      </c>
      <c r="C15" s="28">
        <v>2906.308</v>
      </c>
      <c r="D15" s="40">
        <f>' Citrus 2013-14(Final)'!D39</f>
        <v>329.96900000000005</v>
      </c>
      <c r="E15" s="40">
        <f>' Citrus 2013-14(Final)'!E39</f>
        <v>3431.413</v>
      </c>
    </row>
    <row r="16" spans="1:5" ht="18.75" customHeight="1" x14ac:dyDescent="0.25">
      <c r="A16" s="41" t="s">
        <v>163</v>
      </c>
      <c r="B16" s="28">
        <v>323.154</v>
      </c>
      <c r="C16" s="28">
        <v>3519.9079999999999</v>
      </c>
      <c r="D16" s="40">
        <f>' Citrus 2013-14(Final)'!F39</f>
        <v>334.93900000000002</v>
      </c>
      <c r="E16" s="40">
        <f>' Citrus 2013-14(Final)'!G39</f>
        <v>3886.1979999999999</v>
      </c>
    </row>
    <row r="17" spans="1:5" ht="18.75" customHeight="1" x14ac:dyDescent="0.25">
      <c r="A17" s="41" t="s">
        <v>141</v>
      </c>
      <c r="B17" s="28">
        <v>152.95100000000002</v>
      </c>
      <c r="C17" s="28">
        <v>1140.009</v>
      </c>
      <c r="D17" s="40">
        <f>' Citrus 2013-14(Final)'!H39</f>
        <v>126.405</v>
      </c>
      <c r="E17" s="40">
        <f>' Citrus 2013-14(Final)'!I39</f>
        <v>994.42599999999993</v>
      </c>
    </row>
    <row r="18" spans="1:5" ht="18.75" customHeight="1" x14ac:dyDescent="0.25">
      <c r="A18" s="39" t="s">
        <v>142</v>
      </c>
      <c r="B18" s="29">
        <f>B14+B15+B16+B17</f>
        <v>1042.4879999999998</v>
      </c>
      <c r="C18" s="29">
        <f>C14+C15+C16+C17</f>
        <v>10089.734</v>
      </c>
      <c r="D18" s="42">
        <f>D14+D15+D16+D17</f>
        <v>1077.7270000000001</v>
      </c>
      <c r="E18" s="42">
        <f>E14+E15+E16+E17</f>
        <v>11147.055</v>
      </c>
    </row>
    <row r="19" spans="1:5" ht="18.75" customHeight="1" x14ac:dyDescent="0.25">
      <c r="A19" s="39" t="s">
        <v>165</v>
      </c>
      <c r="B19" s="28">
        <v>19.552999999999997</v>
      </c>
      <c r="C19" s="28">
        <v>135.63499999999999</v>
      </c>
      <c r="D19" s="40">
        <f>' Fruits 2013-14(Final)'!N39</f>
        <v>21.771000000000001</v>
      </c>
      <c r="E19" s="40">
        <f>' Fruits 2013-14(Final)'!O39</f>
        <v>165.15</v>
      </c>
    </row>
    <row r="20" spans="1:5" ht="18.75" customHeight="1" x14ac:dyDescent="0.25">
      <c r="A20" s="39" t="s">
        <v>70</v>
      </c>
      <c r="B20" s="28">
        <v>117.63199999999999</v>
      </c>
      <c r="C20" s="28">
        <v>2483.0940000000001</v>
      </c>
      <c r="D20" s="40">
        <f>' Fruits 2013-14(Final)'!P39</f>
        <v>118.735</v>
      </c>
      <c r="E20" s="40">
        <f>' Fruits 2013-14(Final)'!Q39</f>
        <v>2585.3379999999997</v>
      </c>
    </row>
    <row r="21" spans="1:5" ht="18.75" customHeight="1" x14ac:dyDescent="0.25">
      <c r="A21" s="39" t="s">
        <v>69</v>
      </c>
      <c r="B21" s="28">
        <v>235.60499999999996</v>
      </c>
      <c r="C21" s="28">
        <v>3198.2788999999998</v>
      </c>
      <c r="D21" s="40">
        <f>' Fruits 2013-14(Final)'!R39</f>
        <v>268.21600000000001</v>
      </c>
      <c r="E21" s="40">
        <f>' Fruits 2013-14(Final)'!S39</f>
        <v>3667.8938999999991</v>
      </c>
    </row>
    <row r="22" spans="1:5" ht="18.75" customHeight="1" x14ac:dyDescent="0.25">
      <c r="A22" s="39" t="s">
        <v>164</v>
      </c>
      <c r="B22" s="28">
        <v>66.731000000000009</v>
      </c>
      <c r="C22" s="28">
        <v>1175.703</v>
      </c>
      <c r="D22" s="40">
        <f>' Fruits 2013-14(Final)'!T39</f>
        <v>157.584</v>
      </c>
      <c r="E22" s="40">
        <f>' Fruits 2013-14(Final)'!U39</f>
        <v>1572.8700000000001</v>
      </c>
    </row>
    <row r="23" spans="1:5" ht="18.75" customHeight="1" x14ac:dyDescent="0.25">
      <c r="A23" s="39" t="s">
        <v>143</v>
      </c>
      <c r="B23" s="28">
        <v>3.952</v>
      </c>
      <c r="C23" s="28">
        <v>7.1665000000000001</v>
      </c>
      <c r="D23" s="40">
        <f>' Fruits 2013-14(Final)'!V39</f>
        <v>4.7279999999999998</v>
      </c>
      <c r="E23" s="40">
        <f>' Fruits 2013-14(Final)'!W39</f>
        <v>8.2409999999999997</v>
      </c>
    </row>
    <row r="24" spans="1:5" ht="18.75" customHeight="1" x14ac:dyDescent="0.25">
      <c r="A24" s="39" t="s">
        <v>144</v>
      </c>
      <c r="B24" s="28">
        <v>82.742000000000004</v>
      </c>
      <c r="C24" s="28">
        <v>580.08199999999999</v>
      </c>
      <c r="D24" s="40">
        <f>' Fruits 2013-14(Final)'!X39</f>
        <v>84.166000000000011</v>
      </c>
      <c r="E24" s="40">
        <f>' Fruits 2013-14(Final)'!Y39</f>
        <v>585.29699999999991</v>
      </c>
    </row>
    <row r="25" spans="1:5" ht="18.75" customHeight="1" x14ac:dyDescent="0.25">
      <c r="A25" s="39" t="s">
        <v>66</v>
      </c>
      <c r="B25" s="28">
        <v>2500.018</v>
      </c>
      <c r="C25" s="28">
        <v>18002.381000000001</v>
      </c>
      <c r="D25" s="40">
        <f>' Fruits 2013-14(Final)'!Z39</f>
        <v>2515.9689999999996</v>
      </c>
      <c r="E25" s="40">
        <f>' Fruits 2013-14(Final)'!AA39</f>
        <v>18431.331000000002</v>
      </c>
    </row>
    <row r="26" spans="1:5" ht="18.75" customHeight="1" x14ac:dyDescent="0.25">
      <c r="A26" s="39" t="s">
        <v>71</v>
      </c>
      <c r="B26" s="28">
        <v>132.18300000000002</v>
      </c>
      <c r="C26" s="28">
        <v>5381.7269999999999</v>
      </c>
      <c r="D26" s="40">
        <f>' Fruits 2013-14(Final)'!AB39</f>
        <v>133.36000000000001</v>
      </c>
      <c r="E26" s="40">
        <f>' Fruits 2013-14(Final)'!AC39</f>
        <v>5639.3</v>
      </c>
    </row>
    <row r="27" spans="1:5" ht="18.75" customHeight="1" x14ac:dyDescent="0.25">
      <c r="A27" s="39" t="s">
        <v>191</v>
      </c>
      <c r="B27" s="28">
        <v>18.014999999999997</v>
      </c>
      <c r="C27" s="28">
        <v>100.51</v>
      </c>
      <c r="D27" s="40">
        <f>' Fruits 2013-14(Final)'!AD39</f>
        <v>19.012999999999998</v>
      </c>
      <c r="E27" s="40">
        <f>' Fruits 2013-14(Final)'!AE39</f>
        <v>123.935</v>
      </c>
    </row>
    <row r="28" spans="1:5" ht="18.75" customHeight="1" x14ac:dyDescent="0.25">
      <c r="A28" s="39" t="s">
        <v>145</v>
      </c>
      <c r="B28" s="28">
        <v>19.238999999999997</v>
      </c>
      <c r="C28" s="28">
        <v>97.935000000000002</v>
      </c>
      <c r="D28" s="40">
        <f>' Fruits 2013-14(Final)'!AH39</f>
        <v>18.097999999999999</v>
      </c>
      <c r="E28" s="40">
        <f>' Fruits 2013-14(Final)'!AI39</f>
        <v>93.521000000000015</v>
      </c>
    </row>
    <row r="29" spans="1:5" ht="18.75" customHeight="1" x14ac:dyDescent="0.25">
      <c r="A29" s="39" t="s">
        <v>146</v>
      </c>
      <c r="B29" s="28">
        <v>42.295000000000002</v>
      </c>
      <c r="C29" s="28">
        <v>295.09199999999998</v>
      </c>
      <c r="D29" s="40">
        <f>' Fruits 2013-14(Final)'!AJ39</f>
        <v>42.28</v>
      </c>
      <c r="E29" s="40">
        <f>' Fruits 2013-14(Final)'!AK39</f>
        <v>316.697</v>
      </c>
    </row>
    <row r="30" spans="1:5" ht="18.75" customHeight="1" x14ac:dyDescent="0.25">
      <c r="A30" s="39" t="s">
        <v>229</v>
      </c>
      <c r="B30" s="28"/>
      <c r="C30" s="28"/>
      <c r="D30" s="40">
        <f>' Fruits 2013-14(Final)'!AL39</f>
        <v>1.474</v>
      </c>
      <c r="E30" s="40">
        <f>' Fruits 2013-14(Final)'!AM39</f>
        <v>0.17100000000000001</v>
      </c>
    </row>
    <row r="31" spans="1:5" ht="18.75" customHeight="1" x14ac:dyDescent="0.25">
      <c r="A31" s="39" t="s">
        <v>72</v>
      </c>
      <c r="B31" s="28">
        <v>105.16800000000002</v>
      </c>
      <c r="C31" s="28">
        <v>1570.586</v>
      </c>
      <c r="D31" s="40">
        <f>' Fruits 2013-14(Final)'!AN39</f>
        <v>109.876</v>
      </c>
      <c r="E31" s="40">
        <f>' Fruits 2013-14(Final)'!AO39</f>
        <v>1736.7390000000003</v>
      </c>
    </row>
    <row r="32" spans="1:5" ht="18.75" customHeight="1" x14ac:dyDescent="0.25">
      <c r="A32" s="39" t="s">
        <v>147</v>
      </c>
      <c r="B32" s="28">
        <v>23.943999999999996</v>
      </c>
      <c r="C32" s="28">
        <v>74.123999999999995</v>
      </c>
      <c r="D32" s="40">
        <f>' Fruits 2013-14(Final)'!AP39</f>
        <v>23.154000000000003</v>
      </c>
      <c r="E32" s="40">
        <f>' Fruits 2013-14(Final)'!AQ39</f>
        <v>75.804000000000002</v>
      </c>
    </row>
    <row r="33" spans="1:5" ht="18.75" customHeight="1" x14ac:dyDescent="0.25">
      <c r="A33" s="39" t="s">
        <v>73</v>
      </c>
      <c r="B33" s="28">
        <v>113.248</v>
      </c>
      <c r="C33" s="28">
        <v>744.96254999999985</v>
      </c>
      <c r="D33" s="40">
        <f>' Fruits 2013-14(Final)'!AR39</f>
        <v>130.76500000000001</v>
      </c>
      <c r="E33" s="40">
        <f>' Fruits 2013-14(Final)'!AS39</f>
        <v>1345.72255</v>
      </c>
    </row>
    <row r="34" spans="1:5" ht="18.75" customHeight="1" x14ac:dyDescent="0.25">
      <c r="A34" s="39" t="s">
        <v>74</v>
      </c>
      <c r="B34" s="28">
        <v>163.88400000000001</v>
      </c>
      <c r="C34" s="28">
        <v>1495.0350000000001</v>
      </c>
      <c r="D34" s="40">
        <f>' Fruits 2013-14(Final)'!AT39</f>
        <v>176.96699999999996</v>
      </c>
      <c r="E34" s="40">
        <f>' Fruits 2013-14(Final)'!AU39</f>
        <v>1744.2950000000001</v>
      </c>
    </row>
    <row r="35" spans="1:5" ht="18.75" customHeight="1" x14ac:dyDescent="0.25">
      <c r="A35" s="39" t="s">
        <v>230</v>
      </c>
      <c r="B35" s="28"/>
      <c r="C35" s="28"/>
      <c r="D35" s="40">
        <f>' Fruits 2013-14(Final)'!AV39</f>
        <v>0.20899999999999999</v>
      </c>
      <c r="E35" s="40">
        <f>' Fruits 2013-14(Final)'!AW39</f>
        <v>1.611</v>
      </c>
    </row>
    <row r="36" spans="1:5" ht="18.75" customHeight="1" x14ac:dyDescent="0.25">
      <c r="A36" s="39" t="s">
        <v>148</v>
      </c>
      <c r="B36" s="28">
        <v>122.654</v>
      </c>
      <c r="C36" s="28">
        <v>233.11500000000001</v>
      </c>
      <c r="D36" s="40">
        <f>' Fruits 2013-14(Final)'!AX39</f>
        <v>121.87</v>
      </c>
      <c r="E36" s="40">
        <f>' Fruits 2013-14(Final)'!AY39</f>
        <v>240.631</v>
      </c>
    </row>
    <row r="37" spans="1:5" ht="18.75" customHeight="1" x14ac:dyDescent="0.25">
      <c r="A37" s="39" t="s">
        <v>75</v>
      </c>
      <c r="B37" s="28">
        <v>915.18600000000015</v>
      </c>
      <c r="C37" s="28">
        <v>5481.889000000001</v>
      </c>
      <c r="D37" s="40">
        <f>' Fruits 2013-14(Final)'!AZ39+' Fruits 2013-14(Final)'!H39</f>
        <v>901.35</v>
      </c>
      <c r="E37" s="40">
        <f>' Fruits 2013-14(Final)'!BA39+' Fruits 2013-14(Final)'!I39</f>
        <v>5372.3919999999998</v>
      </c>
    </row>
    <row r="38" spans="1:5" ht="18.75" customHeight="1" x14ac:dyDescent="0.25">
      <c r="A38" s="231" t="s">
        <v>150</v>
      </c>
      <c r="B38" s="29">
        <f>B8+B9+B10+B11+B12+B18+B19+B20+B21+B22+B23+B24+B25+B26+B27+B28+B29+B31+B32+B33+B34+B36+B37</f>
        <v>6982.0149999999994</v>
      </c>
      <c r="C38" s="29">
        <f>C8+C9+C10+C11+C12+C18+C19+C20+C21+C22+C23+C24+C25+C26+C27+C28+C29+C31+C32+C33+C34+C36+C37</f>
        <v>81285.333949999986</v>
      </c>
      <c r="D38" s="42">
        <f>D8+D9+D10+D11+D12+D18+D19+D20+D21+D22+D23+D24+D25+D26+D27+D28+D29+D30+D31+D32+D33+D34+D35+D36+D37</f>
        <v>7216.3120000000008</v>
      </c>
      <c r="E38" s="42">
        <f>E8+E9+E10+E11+E12+E18+E19+E20+E21+E22+E23+E24+E25+E26+E27+E28+E29+E30+E31+E32+E33+E34+E35+E36+E37</f>
        <v>88977.134450000012</v>
      </c>
    </row>
    <row r="39" spans="1:5" ht="18.75" customHeight="1" x14ac:dyDescent="0.25">
      <c r="A39" s="230" t="s">
        <v>76</v>
      </c>
      <c r="B39" s="28"/>
      <c r="C39" s="28"/>
      <c r="D39" s="40"/>
      <c r="E39" s="40"/>
    </row>
    <row r="40" spans="1:5" ht="18.75" customHeight="1" x14ac:dyDescent="0.25">
      <c r="A40" s="39" t="s">
        <v>151</v>
      </c>
      <c r="B40" s="28">
        <v>123.51100000000001</v>
      </c>
      <c r="C40" s="28">
        <v>1268.8992000000001</v>
      </c>
      <c r="D40" s="40">
        <f>'Vegetables 2013-14(Final)'!B39</f>
        <v>137.53900000000002</v>
      </c>
      <c r="E40" s="40">
        <f>'Vegetables 2013-14(Final)'!C39</f>
        <v>1370.2131999999999</v>
      </c>
    </row>
    <row r="41" spans="1:5" ht="18.75" customHeight="1" x14ac:dyDescent="0.25">
      <c r="A41" s="39" t="s">
        <v>198</v>
      </c>
      <c r="B41" s="28">
        <v>83.215000000000018</v>
      </c>
      <c r="C41" s="28">
        <v>940.15150000000006</v>
      </c>
      <c r="D41" s="40">
        <f>'Vegetables 2013-14(Final)'!D39</f>
        <v>78.886000000000024</v>
      </c>
      <c r="E41" s="40">
        <f>'Vegetables 2013-14(Final)'!E39</f>
        <v>807.47449999999992</v>
      </c>
    </row>
    <row r="42" spans="1:5" ht="18.75" customHeight="1" x14ac:dyDescent="0.25">
      <c r="A42" s="39" t="s">
        <v>199</v>
      </c>
      <c r="B42" s="28">
        <v>113.923</v>
      </c>
      <c r="C42" s="28">
        <v>2089.8919400000004</v>
      </c>
      <c r="D42" s="40">
        <f>'Vegetables 2013-14(Final)'!F39</f>
        <v>103.22499999999998</v>
      </c>
      <c r="E42" s="40">
        <f>'Vegetables 2013-14(Final)'!G39</f>
        <v>1818.8639399999995</v>
      </c>
    </row>
    <row r="43" spans="1:5" ht="18.75" customHeight="1" x14ac:dyDescent="0.25">
      <c r="A43" s="39" t="s">
        <v>80</v>
      </c>
      <c r="B43" s="28">
        <v>722.07200000000012</v>
      </c>
      <c r="C43" s="28">
        <v>13443.585999999998</v>
      </c>
      <c r="D43" s="40">
        <f>'Vegetables 2013-14(Final)'!H39</f>
        <v>711.30599999999981</v>
      </c>
      <c r="E43" s="40">
        <f>'Vegetables 2013-14(Final)'!I39</f>
        <v>13557.820999999996</v>
      </c>
    </row>
    <row r="44" spans="1:5" ht="18.75" customHeight="1" x14ac:dyDescent="0.25">
      <c r="A44" s="39" t="s">
        <v>81</v>
      </c>
      <c r="B44" s="28">
        <v>372.35500000000002</v>
      </c>
      <c r="C44" s="28">
        <v>8534.2279999999992</v>
      </c>
      <c r="D44" s="40">
        <f>'Vegetables 2013-14(Final)'!J39</f>
        <v>400.13799999999986</v>
      </c>
      <c r="E44" s="40">
        <f>'Vegetables 2013-14(Final)'!K39</f>
        <v>9039.219000000001</v>
      </c>
    </row>
    <row r="45" spans="1:5" ht="18.75" customHeight="1" x14ac:dyDescent="0.25">
      <c r="A45" s="39" t="s">
        <v>152</v>
      </c>
      <c r="B45" s="28">
        <v>29.137999999999998</v>
      </c>
      <c r="C45" s="28">
        <v>153.35000000000002</v>
      </c>
      <c r="D45" s="40">
        <f>'Vegetables 2013-14(Final)'!L39</f>
        <v>29.714999999999996</v>
      </c>
      <c r="E45" s="40">
        <f>'Vegetables 2013-14(Final)'!M39</f>
        <v>166.87599999999998</v>
      </c>
    </row>
    <row r="46" spans="1:5" ht="18.75" customHeight="1" x14ac:dyDescent="0.25">
      <c r="A46" s="39" t="s">
        <v>153</v>
      </c>
      <c r="B46" s="28">
        <v>64.264999999999986</v>
      </c>
      <c r="C46" s="28">
        <v>1144.5379999999998</v>
      </c>
      <c r="D46" s="40">
        <f>'Vegetables 2013-14(Final)'!N39</f>
        <v>62.411999999999999</v>
      </c>
      <c r="E46" s="40">
        <f>'Vegetables 2013-14(Final)'!O39</f>
        <v>1073.711</v>
      </c>
    </row>
    <row r="47" spans="1:5" ht="18.75" customHeight="1" x14ac:dyDescent="0.25">
      <c r="A47" s="39" t="s">
        <v>82</v>
      </c>
      <c r="B47" s="28">
        <v>402.19799999999998</v>
      </c>
      <c r="C47" s="28">
        <v>7886.7330000000011</v>
      </c>
      <c r="D47" s="40">
        <f>'Vegetables 2013-14(Final)'!P39</f>
        <v>433.87299999999993</v>
      </c>
      <c r="E47" s="40">
        <f>'Vegetables 2013-14(Final)'!Q39</f>
        <v>8573.2759999999998</v>
      </c>
    </row>
    <row r="48" spans="1:5" ht="18.75" customHeight="1" x14ac:dyDescent="0.25">
      <c r="A48" s="39" t="s">
        <v>154</v>
      </c>
      <c r="B48" s="28">
        <v>40.896000000000001</v>
      </c>
      <c r="C48" s="28">
        <v>640.98894999999993</v>
      </c>
      <c r="D48" s="40">
        <f>'Vegetables 2013-14(Final)'!R39</f>
        <v>43.275000000000006</v>
      </c>
      <c r="E48" s="40">
        <f>'Vegetables 2013-14(Final)'!S39</f>
        <v>678.14595000000008</v>
      </c>
    </row>
    <row r="49" spans="1:5" ht="18.75" customHeight="1" x14ac:dyDescent="0.25">
      <c r="A49" s="39" t="s">
        <v>232</v>
      </c>
      <c r="B49" s="28"/>
      <c r="C49" s="28"/>
      <c r="D49" s="40">
        <f>'Vegetables 2013-14(Final)'!T39</f>
        <v>140.04399999999998</v>
      </c>
      <c r="E49" s="40">
        <f>'Vegetables 2013-14(Final)'!U39</f>
        <v>1687.3339999999998</v>
      </c>
    </row>
    <row r="50" spans="1:5" ht="18.75" customHeight="1" x14ac:dyDescent="0.25">
      <c r="A50" s="39" t="s">
        <v>233</v>
      </c>
      <c r="B50" s="28"/>
      <c r="C50" s="28"/>
      <c r="D50" s="40">
        <f>'Vegetables 2013-14(Final)'!V39</f>
        <v>4.9020000000000001</v>
      </c>
      <c r="E50" s="40">
        <f>'Vegetables 2013-14(Final)'!W39</f>
        <v>222.39399999999998</v>
      </c>
    </row>
    <row r="51" spans="1:5" ht="18.75" customHeight="1" x14ac:dyDescent="0.25">
      <c r="A51" s="39" t="s">
        <v>155</v>
      </c>
      <c r="B51" s="28">
        <v>41.814999999999998</v>
      </c>
      <c r="C51" s="28">
        <v>868.02099999999996</v>
      </c>
      <c r="D51" s="40">
        <f>'Vegetables 2013-14(Final)'!X39</f>
        <v>36.696999999999996</v>
      </c>
      <c r="E51" s="40">
        <f>'Vegetables 2013-14(Final)'!Y39</f>
        <v>760.80700000000002</v>
      </c>
    </row>
    <row r="52" spans="1:5" ht="18.75" customHeight="1" x14ac:dyDescent="0.25">
      <c r="A52" s="39" t="s">
        <v>231</v>
      </c>
      <c r="B52" s="28"/>
      <c r="C52" s="28"/>
      <c r="D52" s="40"/>
      <c r="E52" s="40">
        <f>'Vegetables 2013-14(Final)'!AV39</f>
        <v>17.100999999999999</v>
      </c>
    </row>
    <row r="53" spans="1:5" ht="18.75" customHeight="1" x14ac:dyDescent="0.25">
      <c r="A53" s="39" t="s">
        <v>221</v>
      </c>
      <c r="B53" s="28">
        <v>530.78500000000008</v>
      </c>
      <c r="C53" s="28">
        <v>6350.2659999999996</v>
      </c>
      <c r="D53" s="40">
        <f>'Vegetables 2013-14(Final)'!Z39</f>
        <v>532.65999999999985</v>
      </c>
      <c r="E53" s="40">
        <f>'Vegetables 2013-14(Final)'!AA39</f>
        <v>6346.3680000000004</v>
      </c>
    </row>
    <row r="54" spans="1:5" ht="18.75" customHeight="1" x14ac:dyDescent="0.25">
      <c r="A54" s="39" t="s">
        <v>78</v>
      </c>
      <c r="B54" s="28">
        <v>1051.527</v>
      </c>
      <c r="C54" s="28">
        <v>16813.009999999995</v>
      </c>
      <c r="D54" s="40">
        <f>'Vegetables 2013-14(Final)'!AB39</f>
        <v>1203.5650000000001</v>
      </c>
      <c r="E54" s="40">
        <f>'Vegetables 2013-14(Final)'!AC39</f>
        <v>19401.676999999996</v>
      </c>
    </row>
    <row r="55" spans="1:5" ht="18.75" customHeight="1" x14ac:dyDescent="0.25">
      <c r="A55" s="39" t="s">
        <v>234</v>
      </c>
      <c r="B55" s="28"/>
      <c r="C55" s="28"/>
      <c r="D55" s="40">
        <f>'Vegetables 2013-14(Final)'!AD39</f>
        <v>12.785</v>
      </c>
      <c r="E55" s="40">
        <f>'Vegetables 2013-14(Final)'!AE39</f>
        <v>169.45599999999999</v>
      </c>
    </row>
    <row r="56" spans="1:5" ht="18.75" customHeight="1" x14ac:dyDescent="0.25">
      <c r="A56" s="39" t="s">
        <v>83</v>
      </c>
      <c r="B56" s="28">
        <v>420.90100000000001</v>
      </c>
      <c r="C56" s="28">
        <v>4006.1689500000002</v>
      </c>
      <c r="D56" s="40">
        <f>'Vegetables 2013-14(Final)'!AF39</f>
        <v>433.56400000000002</v>
      </c>
      <c r="E56" s="40">
        <f>'Vegetables 2013-14(Final)'!AG39</f>
        <v>3868.6349499999997</v>
      </c>
    </row>
    <row r="57" spans="1:5" ht="18.75" customHeight="1" x14ac:dyDescent="0.25">
      <c r="A57" s="39" t="s">
        <v>77</v>
      </c>
      <c r="B57" s="28">
        <v>1992.211</v>
      </c>
      <c r="C57" s="28">
        <v>45343.59</v>
      </c>
      <c r="D57" s="40">
        <f>'Vegetables 2013-14(Final)'!AH39</f>
        <v>1973.1907000000001</v>
      </c>
      <c r="E57" s="40">
        <f>'Vegetables 2013-14(Final)'!AI39</f>
        <v>41555.384000000005</v>
      </c>
    </row>
    <row r="58" spans="1:5" ht="18.75" customHeight="1" x14ac:dyDescent="0.25">
      <c r="A58" s="39" t="s">
        <v>156</v>
      </c>
      <c r="B58" s="28">
        <v>170.297</v>
      </c>
      <c r="C58" s="28">
        <v>2410.7749999999996</v>
      </c>
      <c r="D58" s="40">
        <f>'Vegetables 2013-14(Final)'!AJ39</f>
        <v>173.33199999999994</v>
      </c>
      <c r="E58" s="40">
        <f>'Vegetables 2013-14(Final)'!AK39</f>
        <v>2484.848</v>
      </c>
    </row>
    <row r="59" spans="1:5" ht="18.75" customHeight="1" x14ac:dyDescent="0.25">
      <c r="A59" s="39" t="s">
        <v>235</v>
      </c>
      <c r="B59" s="28">
        <v>16.165000000000003</v>
      </c>
      <c r="C59" s="28">
        <v>372.81600000000003</v>
      </c>
      <c r="D59" s="40">
        <f>'Vegetables 2013-14(Final)'!AL39</f>
        <v>19.759999999999998</v>
      </c>
      <c r="E59" s="40">
        <f>'Vegetables 2013-14(Final)'!AM39</f>
        <v>416.1049999999999</v>
      </c>
    </row>
    <row r="60" spans="1:5" ht="18.75" customHeight="1" x14ac:dyDescent="0.25">
      <c r="A60" s="39" t="s">
        <v>85</v>
      </c>
      <c r="B60" s="28">
        <v>111.76000000000002</v>
      </c>
      <c r="C60" s="28">
        <v>1132.3630000000001</v>
      </c>
      <c r="D60" s="40">
        <f>'Vegetables 2013-14(Final)'!AN39</f>
        <v>105.86899999999999</v>
      </c>
      <c r="E60" s="40">
        <f>'Vegetables 2013-14(Final)'!AO39</f>
        <v>1087.875</v>
      </c>
    </row>
    <row r="61" spans="1:5" ht="18.75" customHeight="1" x14ac:dyDescent="0.25">
      <c r="A61" s="39" t="s">
        <v>84</v>
      </c>
      <c r="B61" s="28">
        <v>206.95499999999998</v>
      </c>
      <c r="C61" s="28">
        <v>7236.5929999999989</v>
      </c>
      <c r="D61" s="40">
        <f>'Vegetables 2013-14(Final)'!AP39</f>
        <v>228.28300000000002</v>
      </c>
      <c r="E61" s="40">
        <f>'Vegetables 2013-14(Final)'!AQ39</f>
        <v>8139.429000000001</v>
      </c>
    </row>
    <row r="62" spans="1:5" ht="18.75" customHeight="1" x14ac:dyDescent="0.25">
      <c r="A62" s="39" t="s">
        <v>79</v>
      </c>
      <c r="B62" s="28">
        <v>879.63199999999995</v>
      </c>
      <c r="C62" s="28">
        <v>18226.634999999998</v>
      </c>
      <c r="D62" s="40">
        <f>'Vegetables 2013-14(Final)'!AR39</f>
        <v>882.03200000000004</v>
      </c>
      <c r="E62" s="40">
        <f>'Vegetables 2013-14(Final)'!AS39</f>
        <v>18735.911999999997</v>
      </c>
    </row>
    <row r="63" spans="1:5" ht="18.75" customHeight="1" x14ac:dyDescent="0.25">
      <c r="A63" s="39" t="s">
        <v>157</v>
      </c>
      <c r="B63" s="28">
        <v>80.588000000000008</v>
      </c>
      <c r="C63" s="28">
        <v>1789.2343999999998</v>
      </c>
      <c r="D63" s="40">
        <f>'Vegetables 2013-14(Final)'!AT39</f>
        <v>74.643999999999991</v>
      </c>
      <c r="E63" s="40">
        <f>'Vegetables 2013-14(Final)'!AU39</f>
        <v>1809.8264000000001</v>
      </c>
    </row>
    <row r="64" spans="1:5" ht="18.75" customHeight="1" x14ac:dyDescent="0.25">
      <c r="A64" s="39" t="s">
        <v>75</v>
      </c>
      <c r="B64" s="28">
        <v>1750.9765000000002</v>
      </c>
      <c r="C64" s="28">
        <v>21534.727650000001</v>
      </c>
      <c r="D64" s="40">
        <f>'Vegetables 2013-14(Final)'!AW39</f>
        <v>1574.3604999999998</v>
      </c>
      <c r="E64" s="40">
        <f>'Vegetables 2013-14(Final)'!AX39</f>
        <v>19108.158649999998</v>
      </c>
    </row>
    <row r="65" spans="1:5" ht="18.75" customHeight="1" x14ac:dyDescent="0.25">
      <c r="A65" s="231" t="s">
        <v>298</v>
      </c>
      <c r="B65" s="29">
        <f>B40+B41+B42+B43+B44+B45+B46+B47+B48+B51+B53+B54+B56+B57+B58+B59+B60+B61+B62+B63+B64</f>
        <v>9205.1854999999996</v>
      </c>
      <c r="C65" s="29">
        <f>C40+C41+C42+C43+C44+C45+C46+C47+C48+C51+C53+C54+C56+C57+C58+C59+C60+C61+C62+C63+C64</f>
        <v>162186.56659</v>
      </c>
      <c r="D65" s="42">
        <f>SUM(D40:D64)</f>
        <v>9396.0571999999993</v>
      </c>
      <c r="E65" s="42">
        <f>SUM(E40:E64)</f>
        <v>162896.91059000001</v>
      </c>
    </row>
    <row r="66" spans="1:5" ht="18.75" customHeight="1" x14ac:dyDescent="0.25">
      <c r="A66" s="43"/>
      <c r="B66" s="28"/>
      <c r="C66" s="28"/>
      <c r="D66" s="40"/>
      <c r="E66" s="40"/>
    </row>
    <row r="67" spans="1:5" ht="18.75" customHeight="1" x14ac:dyDescent="0.25">
      <c r="A67" s="232" t="s">
        <v>86</v>
      </c>
      <c r="B67" s="29">
        <v>557.16300000000001</v>
      </c>
      <c r="C67" s="29">
        <v>918.2217999999998</v>
      </c>
      <c r="D67" s="42">
        <f>' Horticulture 2013-14(Final)'!I43</f>
        <v>493.25200000000001</v>
      </c>
      <c r="E67" s="42">
        <f>' Horticulture 2013-14(Final)'!J43</f>
        <v>895.30218000000002</v>
      </c>
    </row>
    <row r="68" spans="1:5" ht="18.75" customHeight="1" x14ac:dyDescent="0.25">
      <c r="A68" s="44"/>
      <c r="B68" s="28"/>
      <c r="C68" s="28"/>
      <c r="D68" s="40"/>
      <c r="E68" s="40"/>
    </row>
    <row r="69" spans="1:5" ht="18.75" customHeight="1" x14ac:dyDescent="0.25">
      <c r="A69" s="33"/>
      <c r="B69" s="28"/>
      <c r="C69" s="28"/>
      <c r="D69" s="40"/>
      <c r="E69" s="40"/>
    </row>
    <row r="70" spans="1:5" ht="18.75" customHeight="1" x14ac:dyDescent="0.25">
      <c r="A70" s="45" t="s">
        <v>228</v>
      </c>
      <c r="B70" s="28"/>
      <c r="C70" s="28">
        <v>76731.850999999995</v>
      </c>
      <c r="D70" s="40"/>
      <c r="E70" s="40">
        <f>' Flowers 2013-14(Final)'!AN40</f>
        <v>542.53451752442004</v>
      </c>
    </row>
    <row r="71" spans="1:5" ht="18.75" customHeight="1" x14ac:dyDescent="0.25">
      <c r="A71" s="45" t="s">
        <v>87</v>
      </c>
      <c r="B71" s="28">
        <v>232.74414000000002</v>
      </c>
      <c r="C71" s="28">
        <v>1729.2120399999999</v>
      </c>
      <c r="D71" s="40">
        <f>' Flowers 2013-14(Final)'!AL40</f>
        <v>255.02202999999997</v>
      </c>
      <c r="E71" s="40">
        <f>' Flowers 2013-14(Final)'!AM40</f>
        <v>1754.4914969999998</v>
      </c>
    </row>
    <row r="72" spans="1:5" ht="18.75" customHeight="1" x14ac:dyDescent="0.25">
      <c r="A72" s="231" t="s">
        <v>299</v>
      </c>
      <c r="B72" s="29">
        <f>B71</f>
        <v>232.74414000000002</v>
      </c>
      <c r="C72" s="29">
        <f>C71</f>
        <v>1729.2120399999999</v>
      </c>
      <c r="D72" s="29">
        <f>D71</f>
        <v>255.02202999999997</v>
      </c>
      <c r="E72" s="29">
        <f>E71+E70</f>
        <v>2297.0260145244197</v>
      </c>
    </row>
    <row r="73" spans="1:5" ht="18.75" customHeight="1" x14ac:dyDescent="0.25">
      <c r="A73" s="231"/>
      <c r="B73" s="29"/>
      <c r="C73" s="29"/>
      <c r="D73" s="29"/>
      <c r="E73" s="29"/>
    </row>
    <row r="74" spans="1:5" ht="18.75" customHeight="1" x14ac:dyDescent="0.25">
      <c r="A74" s="230" t="s">
        <v>236</v>
      </c>
      <c r="B74" s="28"/>
      <c r="C74" s="28"/>
      <c r="D74" s="42"/>
      <c r="E74" s="42">
        <f>' Horticulture 2013-14(Final)'!O43</f>
        <v>76.149999999999991</v>
      </c>
    </row>
    <row r="75" spans="1:5" ht="18.75" customHeight="1" x14ac:dyDescent="0.25">
      <c r="A75" s="34"/>
      <c r="B75" s="28"/>
      <c r="C75" s="28"/>
      <c r="D75" s="40"/>
      <c r="E75" s="40"/>
    </row>
    <row r="76" spans="1:5" ht="18.75" customHeight="1" x14ac:dyDescent="0.25">
      <c r="A76" s="230" t="s">
        <v>88</v>
      </c>
      <c r="B76" s="28"/>
      <c r="C76" s="28"/>
      <c r="D76" s="40"/>
      <c r="E76" s="40"/>
    </row>
    <row r="77" spans="1:5" ht="18.75" customHeight="1" x14ac:dyDescent="0.25">
      <c r="A77" s="118" t="s">
        <v>50</v>
      </c>
      <c r="B77" s="28">
        <v>446.39000000000004</v>
      </c>
      <c r="C77" s="28">
        <v>608.72000000000014</v>
      </c>
      <c r="D77" s="40">
        <f>' Plantations 2013-14(Final)'!B39</f>
        <v>451.90000000000003</v>
      </c>
      <c r="E77" s="40">
        <f>' Plantations 2013-14(Final)'!C39</f>
        <v>622.2700000000001</v>
      </c>
    </row>
    <row r="78" spans="1:5" ht="18.75" customHeight="1" x14ac:dyDescent="0.25">
      <c r="A78" s="118" t="s">
        <v>49</v>
      </c>
      <c r="B78" s="28">
        <v>991.61</v>
      </c>
      <c r="C78" s="28">
        <v>753.37</v>
      </c>
      <c r="D78" s="40">
        <f>' Plantations 2013-14(Final)'!D39</f>
        <v>1010.8469999999999</v>
      </c>
      <c r="E78" s="40">
        <f>' Plantations 2013-14(Final)'!E39</f>
        <v>753.16199999999992</v>
      </c>
    </row>
    <row r="79" spans="1:5" ht="18.75" customHeight="1" x14ac:dyDescent="0.25">
      <c r="A79" s="118" t="s">
        <v>51</v>
      </c>
      <c r="B79" s="28">
        <v>66.465000000000003</v>
      </c>
      <c r="C79" s="28">
        <v>13.416</v>
      </c>
      <c r="D79" s="40">
        <f>' Plantations 2013-14(Final)'!F39</f>
        <v>71.365000000000009</v>
      </c>
      <c r="E79" s="40">
        <f>' Plantations 2013-14(Final)'!G39</f>
        <v>15.132999999999999</v>
      </c>
    </row>
    <row r="80" spans="1:5" ht="18.75" customHeight="1" x14ac:dyDescent="0.25">
      <c r="A80" s="118" t="s">
        <v>52</v>
      </c>
      <c r="B80" s="28">
        <v>2136.6729999999998</v>
      </c>
      <c r="C80" s="28">
        <v>15609.088999999998</v>
      </c>
      <c r="D80" s="40">
        <f>' Plantations 2013-14(Final)'!H39</f>
        <v>2140.4850000000006</v>
      </c>
      <c r="E80" s="40">
        <f>' Plantations 2013-14(Final)'!I39</f>
        <v>14910.658475131428</v>
      </c>
    </row>
    <row r="81" spans="1:5" ht="18.75" customHeight="1" x14ac:dyDescent="0.25">
      <c r="A81" s="233" t="s">
        <v>300</v>
      </c>
      <c r="B81" s="29">
        <f>B77+B78+B79+B80</f>
        <v>3641.1379999999999</v>
      </c>
      <c r="C81" s="29">
        <f>C77+C78+C79+C80</f>
        <v>16984.594999999998</v>
      </c>
      <c r="D81" s="42">
        <f>D77+D78+D79+D80</f>
        <v>3674.5970000000007</v>
      </c>
      <c r="E81" s="42">
        <f>E77+E78+E79+E80</f>
        <v>16301.223475131428</v>
      </c>
    </row>
    <row r="82" spans="1:5" ht="18.75" customHeight="1" x14ac:dyDescent="0.25">
      <c r="A82" s="46"/>
      <c r="B82" s="28"/>
      <c r="C82" s="28"/>
      <c r="D82" s="40"/>
      <c r="E82" s="40"/>
    </row>
    <row r="83" spans="1:5" ht="18.75" customHeight="1" x14ac:dyDescent="0.25">
      <c r="A83" s="232" t="s">
        <v>89</v>
      </c>
      <c r="B83" s="28"/>
      <c r="C83" s="28"/>
      <c r="D83" s="40"/>
      <c r="E83" s="40"/>
    </row>
    <row r="84" spans="1:5" ht="18.75" customHeight="1" x14ac:dyDescent="0.25">
      <c r="A84" s="47" t="s">
        <v>134</v>
      </c>
      <c r="B84" s="28">
        <v>35.379999999999995</v>
      </c>
      <c r="C84" s="28">
        <v>26.78</v>
      </c>
      <c r="D84" s="40">
        <f>' Spices 2013-14(Final)'!V35</f>
        <v>26.669999999999998</v>
      </c>
      <c r="E84" s="40">
        <f>' Spices 2013-14(Final)'!W35</f>
        <v>19.2</v>
      </c>
    </row>
    <row r="85" spans="1:5" ht="18.75" customHeight="1" x14ac:dyDescent="0.25">
      <c r="A85" s="47" t="s">
        <v>130</v>
      </c>
      <c r="B85" s="28">
        <v>92.39</v>
      </c>
      <c r="C85" s="28">
        <v>18.43</v>
      </c>
      <c r="D85" s="40">
        <f>' Spices 2013-14(Final)'!L35</f>
        <v>92.84</v>
      </c>
      <c r="E85" s="40">
        <f>' Spices 2013-14(Final)'!M35</f>
        <v>21.279999999999998</v>
      </c>
    </row>
    <row r="86" spans="1:5" ht="18.75" customHeight="1" x14ac:dyDescent="0.25">
      <c r="A86" s="47" t="s">
        <v>158</v>
      </c>
      <c r="B86" s="28">
        <v>794.12000000000012</v>
      </c>
      <c r="C86" s="28">
        <v>1304.3800000000001</v>
      </c>
      <c r="D86" s="40">
        <f>' Spices 2013-14(Final)'!F35</f>
        <v>774.87000000000012</v>
      </c>
      <c r="E86" s="40">
        <f>' Spices 2013-14(Final)'!G35</f>
        <v>1492.1399999999999</v>
      </c>
    </row>
    <row r="87" spans="1:5" ht="18.75" customHeight="1" x14ac:dyDescent="0.25">
      <c r="A87" s="47" t="s">
        <v>159</v>
      </c>
      <c r="B87" s="28">
        <v>2.95</v>
      </c>
      <c r="C87" s="28">
        <v>5.0510000000000002</v>
      </c>
      <c r="D87" s="40">
        <f>' Spices 2013-14(Final)'!Z35</f>
        <v>2.77</v>
      </c>
      <c r="E87" s="40">
        <f>' Spices 2013-14(Final)'!AA35</f>
        <v>5.05</v>
      </c>
    </row>
    <row r="88" spans="1:5" ht="18.75" customHeight="1" x14ac:dyDescent="0.25">
      <c r="A88" s="47" t="s">
        <v>166</v>
      </c>
      <c r="B88" s="28">
        <v>33.47</v>
      </c>
      <c r="C88" s="28">
        <v>32.64</v>
      </c>
      <c r="D88" s="40">
        <f>' Spices 2013-14(Final)'!X35</f>
        <v>33.47</v>
      </c>
      <c r="E88" s="40">
        <f>' Spices 2013-14(Final)'!Y35</f>
        <v>32.64</v>
      </c>
    </row>
    <row r="89" spans="1:5" ht="18.75" customHeight="1" x14ac:dyDescent="0.25">
      <c r="A89" s="47" t="s">
        <v>136</v>
      </c>
      <c r="B89" s="28">
        <v>2.38</v>
      </c>
      <c r="C89" s="28">
        <v>1.1000000000000001</v>
      </c>
      <c r="D89" s="40">
        <f>' Spices 2013-14(Final)'!AD35</f>
        <v>2.06</v>
      </c>
      <c r="E89" s="40">
        <f>' Spices 2013-14(Final)'!AE35</f>
        <v>1.0699999999999998</v>
      </c>
    </row>
    <row r="90" spans="1:5" ht="18.75" customHeight="1" x14ac:dyDescent="0.25">
      <c r="A90" s="47" t="s">
        <v>131</v>
      </c>
      <c r="B90" s="28">
        <v>543.19999999999993</v>
      </c>
      <c r="C90" s="28">
        <v>523.88</v>
      </c>
      <c r="D90" s="40">
        <f>' Spices 2013-14(Final)'!N35</f>
        <v>447.12999999999994</v>
      </c>
      <c r="E90" s="40">
        <f>' Spices 2013-14(Final)'!O35</f>
        <v>313.65000000000003</v>
      </c>
    </row>
    <row r="91" spans="1:5" ht="18.75" customHeight="1" x14ac:dyDescent="0.25">
      <c r="A91" s="47" t="s">
        <v>132</v>
      </c>
      <c r="B91" s="28">
        <v>593.98099999999999</v>
      </c>
      <c r="C91" s="28">
        <v>394.33</v>
      </c>
      <c r="D91" s="40">
        <f>' Spices 2013-14(Final)'!P35</f>
        <v>858.9</v>
      </c>
      <c r="E91" s="40">
        <f>' Spices 2013-14(Final)'!Q35</f>
        <v>513.84999999999991</v>
      </c>
    </row>
    <row r="92" spans="1:5" ht="18.75" customHeight="1" x14ac:dyDescent="0.25">
      <c r="A92" s="47" t="s">
        <v>216</v>
      </c>
      <c r="B92" s="28">
        <v>93.11999999999999</v>
      </c>
      <c r="C92" s="28">
        <v>112.86999999999999</v>
      </c>
      <c r="D92" s="40">
        <f>' Spices 2013-14(Final)'!T35</f>
        <v>65.94</v>
      </c>
      <c r="E92" s="40">
        <f>' Spices 2013-14(Final)'!U35</f>
        <v>89.61</v>
      </c>
    </row>
    <row r="93" spans="1:5" ht="18.75" customHeight="1" x14ac:dyDescent="0.25">
      <c r="A93" s="47" t="s">
        <v>133</v>
      </c>
      <c r="B93" s="28">
        <v>99.61</v>
      </c>
      <c r="C93" s="28">
        <v>142.95000000000002</v>
      </c>
      <c r="D93" s="40">
        <f>' Spices 2013-14(Final)'!R35</f>
        <v>54.160000000000004</v>
      </c>
      <c r="E93" s="40">
        <f>' Spices 2013-14(Final)'!S35</f>
        <v>70.12</v>
      </c>
    </row>
    <row r="94" spans="1:5" ht="18.75" customHeight="1" x14ac:dyDescent="0.25">
      <c r="A94" s="47" t="s">
        <v>129</v>
      </c>
      <c r="B94" s="28">
        <v>247.51999999999998</v>
      </c>
      <c r="C94" s="28">
        <v>1259.2719999999999</v>
      </c>
      <c r="D94" s="40">
        <f>' Spices 2013-14(Final)'!J35</f>
        <v>230.59</v>
      </c>
      <c r="E94" s="40">
        <f>' Spices 2013-14(Final)'!K35</f>
        <v>1251.8799999999999</v>
      </c>
    </row>
    <row r="95" spans="1:5" ht="18.75" customHeight="1" x14ac:dyDescent="0.25">
      <c r="A95" s="47" t="s">
        <v>127</v>
      </c>
      <c r="B95" s="28">
        <v>136.24799999999999</v>
      </c>
      <c r="C95" s="28">
        <v>682.63000000000011</v>
      </c>
      <c r="D95" s="40">
        <f>' Spices 2013-14(Final)'!D35</f>
        <v>132.62100000000001</v>
      </c>
      <c r="E95" s="40">
        <f>' Spices 2013-14(Final)'!E35</f>
        <v>655.06000000000006</v>
      </c>
    </row>
    <row r="96" spans="1:5" ht="18.75" customHeight="1" x14ac:dyDescent="0.25">
      <c r="A96" s="47" t="s">
        <v>135</v>
      </c>
      <c r="B96" s="28">
        <v>17.489999999999998</v>
      </c>
      <c r="C96" s="28">
        <v>12.620999999999999</v>
      </c>
      <c r="D96" s="40">
        <f>' Spices 2013-14(Final)'!AB35</f>
        <v>18.900000000000002</v>
      </c>
      <c r="E96" s="40">
        <f>' Spices 2013-14(Final)'!AC35</f>
        <v>12.78</v>
      </c>
    </row>
    <row r="97" spans="1:5" ht="18.75" customHeight="1" x14ac:dyDescent="0.25">
      <c r="A97" s="47" t="s">
        <v>126</v>
      </c>
      <c r="B97" s="28">
        <v>124.60000000000001</v>
      </c>
      <c r="C97" s="28">
        <v>52.610099999999989</v>
      </c>
      <c r="D97" s="40">
        <f>' Spices 2013-14(Final)'!B35</f>
        <v>123.81</v>
      </c>
      <c r="E97" s="40">
        <f>' Spices 2013-14(Final)'!C35</f>
        <v>50.86999999999999</v>
      </c>
    </row>
    <row r="98" spans="1:5" ht="18.75" customHeight="1" x14ac:dyDescent="0.25">
      <c r="A98" s="47" t="s">
        <v>160</v>
      </c>
      <c r="B98" s="28">
        <v>7.1</v>
      </c>
      <c r="C98" s="28">
        <v>1.07</v>
      </c>
      <c r="D98" s="40">
        <f>' Spices 2013-14(Final)'!AH35</f>
        <v>7.2500000000000009</v>
      </c>
      <c r="E98" s="40">
        <f>' Spices 2013-14(Final)'!AI35</f>
        <v>1.07</v>
      </c>
    </row>
    <row r="99" spans="1:5" ht="18.75" customHeight="1" x14ac:dyDescent="0.25">
      <c r="A99" s="47" t="s">
        <v>137</v>
      </c>
      <c r="B99" s="28">
        <v>58.110000000000007</v>
      </c>
      <c r="C99" s="28">
        <v>201.82</v>
      </c>
      <c r="D99" s="40">
        <f>' Spices 2013-14(Final)'!AF35</f>
        <v>58.59</v>
      </c>
      <c r="E99" s="40">
        <f>' Spices 2013-14(Final)'!AG35</f>
        <v>188.13</v>
      </c>
    </row>
    <row r="100" spans="1:5" ht="18.75" customHeight="1" x14ac:dyDescent="0.25">
      <c r="A100" s="47" t="s">
        <v>128</v>
      </c>
      <c r="B100" s="28">
        <v>194.23000000000002</v>
      </c>
      <c r="C100" s="28">
        <v>971.09</v>
      </c>
      <c r="D100" s="40">
        <f>' Spices 2013-14(Final)'!H35</f>
        <v>232.67000000000004</v>
      </c>
      <c r="E100" s="40">
        <f>' Spices 2013-14(Final)'!I35</f>
        <v>1189.8899999999999</v>
      </c>
    </row>
    <row r="101" spans="1:5" ht="18.75" customHeight="1" x14ac:dyDescent="0.25">
      <c r="A101" s="234" t="s">
        <v>301</v>
      </c>
      <c r="B101" s="29">
        <f>B84+B85+B86+B87+B88+B89+B90+B91+B92+B93+B94+B95+B96+B97+B98+B99+B100</f>
        <v>3075.8989999999999</v>
      </c>
      <c r="C101" s="29">
        <f>C84+C85+C86+C87+C88+C89+C90+C91+C92+C93+C94+C95+C96+C97+C98+C99+C100</f>
        <v>5743.5240999999996</v>
      </c>
      <c r="D101" s="42">
        <f>SUM(D84:D100)</f>
        <v>3163.2410000000004</v>
      </c>
      <c r="E101" s="42">
        <f>SUM(E84:E100)</f>
        <v>5908.2899999999991</v>
      </c>
    </row>
    <row r="102" spans="1:5" ht="18.75" customHeight="1" x14ac:dyDescent="0.25">
      <c r="A102" s="234" t="s">
        <v>53</v>
      </c>
      <c r="B102" s="29">
        <f>B38+B65+B67+B71+B81+B101</f>
        <v>23694.144639999999</v>
      </c>
      <c r="C102" s="29">
        <f>C38+C65+C67+C71+C81+C101</f>
        <v>268847.45347999997</v>
      </c>
      <c r="D102" s="42">
        <f>D38+D65+D67+D71+D74+D81+D101</f>
        <v>24198.481230000005</v>
      </c>
      <c r="E102" s="42">
        <f>E38+E65+E67+E71+E74+E81+E101+E70</f>
        <v>277352.03670965583</v>
      </c>
    </row>
    <row r="103" spans="1:5" ht="18.75" customHeight="1" x14ac:dyDescent="0.25">
      <c r="A103" s="48"/>
      <c r="B103" s="30"/>
      <c r="C103" s="30"/>
    </row>
    <row r="104" spans="1:5" ht="18.75" customHeight="1" x14ac:dyDescent="0.25">
      <c r="A104" s="30" t="s">
        <v>227</v>
      </c>
      <c r="B104" s="49"/>
      <c r="C104" s="49"/>
    </row>
    <row r="105" spans="1:5" ht="18.75" customHeight="1" x14ac:dyDescent="0.25">
      <c r="A105" s="182" t="s">
        <v>212</v>
      </c>
      <c r="B105" s="49"/>
      <c r="C105" s="49"/>
    </row>
    <row r="106" spans="1:5" ht="18.75" customHeight="1" x14ac:dyDescent="0.25">
      <c r="A106" s="50"/>
      <c r="B106" s="49"/>
      <c r="C106" s="49"/>
    </row>
    <row r="107" spans="1:5" ht="18.75" customHeight="1" x14ac:dyDescent="0.25">
      <c r="A107" s="51"/>
      <c r="B107" s="49"/>
      <c r="C107" s="49"/>
    </row>
  </sheetData>
  <mergeCells count="7">
    <mergeCell ref="B5:C5"/>
    <mergeCell ref="A3:E3"/>
    <mergeCell ref="A4:E4"/>
    <mergeCell ref="A1:E2"/>
    <mergeCell ref="D5:E5"/>
    <mergeCell ref="D6:E6"/>
    <mergeCell ref="B6:C6"/>
  </mergeCells>
  <phoneticPr fontId="20" type="noConversion"/>
  <pageMargins left="0.48" right="0.22" top="0.68" bottom="0.47" header="0.37" footer="0.24"/>
  <pageSetup scale="55" orientation="portrait" verticalDpi="0" r:id="rId1"/>
  <headerFooter alignWithMargins="0">
    <oddHeader>&amp;R&amp;"Arial,Bold"&amp;12Annexure-II</oddHeader>
  </headerFooter>
  <rowBreaks count="1" manualBreakCount="1">
    <brk id="6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pane xSplit="1" ySplit="3" topLeftCell="B4" activePane="bottomRight" state="frozen"/>
      <selection pane="topRight"/>
      <selection pane="bottomLeft"/>
      <selection pane="bottomRight" activeCell="E18" sqref="E18"/>
    </sheetView>
  </sheetViews>
  <sheetFormatPr defaultColWidth="12.7109375" defaultRowHeight="14.25" customHeight="1" x14ac:dyDescent="0.2"/>
  <cols>
    <col min="1" max="1" width="29.28515625" style="59" customWidth="1"/>
    <col min="2" max="16" width="11.28515625" style="59" customWidth="1"/>
    <col min="17" max="16384" width="12.7109375" style="59"/>
  </cols>
  <sheetData>
    <row r="1" spans="1:16" ht="45" customHeight="1" x14ac:dyDescent="0.25">
      <c r="A1" s="58" t="s">
        <v>224</v>
      </c>
      <c r="B1" s="275" t="s">
        <v>58</v>
      </c>
      <c r="C1" s="277"/>
      <c r="D1" s="273" t="s">
        <v>217</v>
      </c>
      <c r="E1" s="273"/>
      <c r="F1" s="273" t="s">
        <v>59</v>
      </c>
      <c r="G1" s="273"/>
      <c r="H1" s="273"/>
      <c r="I1" s="273" t="s">
        <v>60</v>
      </c>
      <c r="J1" s="273"/>
      <c r="K1" s="273" t="s">
        <v>61</v>
      </c>
      <c r="L1" s="273"/>
      <c r="M1" s="277" t="s">
        <v>218</v>
      </c>
      <c r="N1" s="277"/>
      <c r="O1" s="272" t="s">
        <v>9</v>
      </c>
      <c r="P1" s="273"/>
    </row>
    <row r="2" spans="1:16" ht="19.5" customHeight="1" x14ac:dyDescent="0.25">
      <c r="A2" s="60"/>
      <c r="B2" s="61" t="s">
        <v>48</v>
      </c>
      <c r="C2" s="60" t="s">
        <v>10</v>
      </c>
      <c r="D2" s="60" t="s">
        <v>48</v>
      </c>
      <c r="E2" s="60" t="s">
        <v>10</v>
      </c>
      <c r="F2" s="60" t="s">
        <v>48</v>
      </c>
      <c r="G2" s="274" t="s">
        <v>10</v>
      </c>
      <c r="H2" s="275"/>
      <c r="I2" s="60" t="s">
        <v>48</v>
      </c>
      <c r="J2" s="60" t="s">
        <v>10</v>
      </c>
      <c r="K2" s="60" t="s">
        <v>48</v>
      </c>
      <c r="L2" s="60" t="s">
        <v>10</v>
      </c>
      <c r="M2" s="60" t="s">
        <v>48</v>
      </c>
      <c r="N2" s="60" t="s">
        <v>10</v>
      </c>
      <c r="O2" s="60" t="s">
        <v>48</v>
      </c>
      <c r="P2" s="60" t="s">
        <v>10</v>
      </c>
    </row>
    <row r="3" spans="1:16" ht="19.5" customHeight="1" x14ac:dyDescent="0.25">
      <c r="A3" s="60"/>
      <c r="B3" s="62"/>
      <c r="C3" s="63"/>
      <c r="D3" s="63"/>
      <c r="E3" s="63"/>
      <c r="F3" s="63"/>
      <c r="G3" s="64" t="s">
        <v>62</v>
      </c>
      <c r="H3" s="64" t="s">
        <v>63</v>
      </c>
      <c r="I3" s="63"/>
      <c r="J3" s="63"/>
      <c r="K3" s="63"/>
      <c r="L3" s="63"/>
      <c r="M3" s="63" t="s">
        <v>39</v>
      </c>
      <c r="N3" s="63"/>
      <c r="O3" s="65"/>
      <c r="P3" s="66"/>
    </row>
    <row r="4" spans="1:16" ht="18" customHeight="1" x14ac:dyDescent="0.25">
      <c r="A4" s="1" t="s">
        <v>54</v>
      </c>
      <c r="B4" s="67">
        <f>SUM('[2]3rd Fruits 2013-14'!BB3)</f>
        <v>3.5500000000000003</v>
      </c>
      <c r="C4" s="67">
        <f>SUM('[2]3rd Fruits 2013-14'!BC3)</f>
        <v>29.73</v>
      </c>
      <c r="D4" s="67">
        <f>SUM('[2]3rd Vegetables 2013-14'!AT3)</f>
        <v>6.89</v>
      </c>
      <c r="E4" s="67">
        <f>SUM('[2]3rd Vegetables 2013-14'!AU3)</f>
        <v>51.79</v>
      </c>
      <c r="F4" s="67">
        <f>'[2]3rd Flowers 2013-14'!AL4</f>
        <v>0.13</v>
      </c>
      <c r="G4" s="67">
        <f>'[2]3rd Flowers 2013-14'!AM4</f>
        <v>0.29000000000000004</v>
      </c>
      <c r="H4" s="67">
        <f>'[2]3rd Flowers 2013-14'!AN4</f>
        <v>0</v>
      </c>
      <c r="I4" s="67"/>
      <c r="J4" s="67"/>
      <c r="K4" s="67">
        <f>SUM('[2]3rd Spices 2013-14'!AJ3)</f>
        <v>1.6749999999999998</v>
      </c>
      <c r="L4" s="67">
        <f>SUM('[2]3rd Spices 2013-14'!AK3)</f>
        <v>3.2199999999999998</v>
      </c>
      <c r="M4" s="67">
        <f>SUM('[2]3rd Plantations 2013-14'!J3)</f>
        <v>27.33</v>
      </c>
      <c r="N4" s="67">
        <f>SUM('[2]3rd Plantations 2013-14'!K3)</f>
        <v>95.710000000000008</v>
      </c>
      <c r="O4" s="68">
        <f>B4+D4+F4+I4+K4+M4</f>
        <v>39.575000000000003</v>
      </c>
      <c r="P4" s="68">
        <f>C4+E4+G4+J4+L4+N4</f>
        <v>180.74</v>
      </c>
    </row>
    <row r="5" spans="1:16" ht="18" customHeight="1" x14ac:dyDescent="0.25">
      <c r="A5" s="1" t="s">
        <v>12</v>
      </c>
      <c r="B5" s="67">
        <f>SUM('[2]3rd Fruits 2013-14'!BB4)</f>
        <v>973.80200000000002</v>
      </c>
      <c r="C5" s="67">
        <f>SUM('[2]3rd Fruits 2013-14'!BC4)</f>
        <v>14219.305999999999</v>
      </c>
      <c r="D5" s="67">
        <f>SUM('[2]3rd Vegetables 2013-14'!AT4)</f>
        <v>710.30799999999999</v>
      </c>
      <c r="E5" s="67">
        <f>SUM('[2]3rd Vegetables 2013-14'!AU4)</f>
        <v>12422.057999999999</v>
      </c>
      <c r="F5" s="67">
        <f>'[2]3rd Flowers 2013-14'!AL5</f>
        <v>36.071999999999996</v>
      </c>
      <c r="G5" s="67">
        <f>'[2]3rd Flowers 2013-14'!AM5</f>
        <v>251.12300000000002</v>
      </c>
      <c r="H5" s="67">
        <f>'[2]3rd Flowers 2013-14'!AN5</f>
        <v>55.063461538461539</v>
      </c>
      <c r="I5" s="67">
        <v>0.30099999999999999</v>
      </c>
      <c r="J5" s="67">
        <v>4.5170000000000003</v>
      </c>
      <c r="K5" s="67">
        <f>SUM('[2]3rd Spices 2013-14'!AJ4)</f>
        <v>302.29699999999991</v>
      </c>
      <c r="L5" s="67">
        <f>SUM('[2]3rd Spices 2013-14'!AK4)</f>
        <v>1217.04</v>
      </c>
      <c r="M5" s="67">
        <f>SUM('[2]3rd Plantations 2013-14'!J4)</f>
        <v>341.16800000000001</v>
      </c>
      <c r="N5" s="67">
        <f>SUM('[2]3rd Plantations 2013-14'!K4)</f>
        <v>1483.5700000000002</v>
      </c>
      <c r="O5" s="68">
        <f t="shared" ref="O5:P38" si="0">B5+D5+F5+I5+K5+M5</f>
        <v>2363.9479999999999</v>
      </c>
      <c r="P5" s="68">
        <f t="shared" si="0"/>
        <v>29597.613999999998</v>
      </c>
    </row>
    <row r="6" spans="1:16" ht="18" customHeight="1" x14ac:dyDescent="0.25">
      <c r="A6" s="1" t="s">
        <v>13</v>
      </c>
      <c r="B6" s="67">
        <f>SUM('[2]3rd Fruits 2013-14'!BB5)</f>
        <v>89.080999999999989</v>
      </c>
      <c r="C6" s="67">
        <f>SUM('[2]3rd Fruits 2013-14'!BC5)</f>
        <v>322.15699999999998</v>
      </c>
      <c r="D6" s="67">
        <f>SUM('[2]3rd Vegetables 2013-14'!AT5)</f>
        <v>1.4</v>
      </c>
      <c r="E6" s="67">
        <f>SUM('[2]3rd Vegetables 2013-14'!AU5)</f>
        <v>35</v>
      </c>
      <c r="F6" s="67">
        <f>'[2]3rd Flowers 2013-14'!AL6</f>
        <v>2.3099999999999999E-2</v>
      </c>
      <c r="G6" s="67">
        <f>'[2]3rd Flowers 2013-14'!AM6</f>
        <v>9.7999999999999997E-3</v>
      </c>
      <c r="H6" s="67">
        <f>'[2]3rd Flowers 2013-14'!AN6</f>
        <v>1.862686202686203</v>
      </c>
      <c r="I6" s="67">
        <v>5.1479999999999997</v>
      </c>
      <c r="J6" s="67">
        <v>109.178</v>
      </c>
      <c r="K6" s="67">
        <f>SUM('[2]3rd Spices 2013-14'!AJ5)</f>
        <v>10.17</v>
      </c>
      <c r="L6" s="67">
        <f>SUM('[2]3rd Spices 2013-14'!AK5)</f>
        <v>64.27000000000001</v>
      </c>
      <c r="M6" s="67">
        <f>SUM('[2]3rd Plantations 2013-14'!J5)</f>
        <v>1</v>
      </c>
      <c r="N6" s="67">
        <f>SUM('[2]3rd Plantations 2013-14'!K5)</f>
        <v>0.56000000000000005</v>
      </c>
      <c r="O6" s="68">
        <f t="shared" si="0"/>
        <v>106.82209999999999</v>
      </c>
      <c r="P6" s="68">
        <f t="shared" si="0"/>
        <v>531.17479999999989</v>
      </c>
    </row>
    <row r="7" spans="1:16" ht="18" customHeight="1" x14ac:dyDescent="0.25">
      <c r="A7" s="1" t="s">
        <v>14</v>
      </c>
      <c r="B7" s="67">
        <f>SUM('[2]3rd Fruits 2013-14'!BB6)</f>
        <v>153.96199999999999</v>
      </c>
      <c r="C7" s="67">
        <f>SUM('[2]3rd Fruits 2013-14'!BC6)</f>
        <v>2210.2399999999998</v>
      </c>
      <c r="D7" s="67">
        <f>SUM('[2]3rd Vegetables 2013-14'!AT6)</f>
        <v>291.00200000000001</v>
      </c>
      <c r="E7" s="67">
        <f>SUM('[2]3rd Vegetables 2013-14'!AU6)</f>
        <v>3479.9360000000001</v>
      </c>
      <c r="F7" s="67">
        <f>'[2]3rd Flowers 2013-14'!AL7</f>
        <v>2.9999999999999996</v>
      </c>
      <c r="G7" s="67">
        <f>'[2]3rd Flowers 2013-14'!AM7</f>
        <v>20</v>
      </c>
      <c r="H7" s="67">
        <f>'[2]3rd Flowers 2013-14'!AN7</f>
        <v>32.694856532356532</v>
      </c>
      <c r="I7" s="67">
        <v>4.3499999999999996</v>
      </c>
      <c r="J7" s="67">
        <v>0.16</v>
      </c>
      <c r="K7" s="67">
        <f>SUM('[2]3rd Spices 2013-14'!AJ6)</f>
        <v>96.658999999999992</v>
      </c>
      <c r="L7" s="67">
        <f>SUM('[2]3rd Spices 2013-14'!AK6)</f>
        <v>287.50000000000006</v>
      </c>
      <c r="M7" s="67">
        <f>SUM('[2]3rd Plantations 2013-14'!J6)</f>
        <v>97.435000000000002</v>
      </c>
      <c r="N7" s="67">
        <f>SUM('[2]3rd Plantations 2013-14'!K6)</f>
        <v>183.94</v>
      </c>
      <c r="O7" s="68">
        <f t="shared" si="0"/>
        <v>646.4079999999999</v>
      </c>
      <c r="P7" s="68">
        <f t="shared" si="0"/>
        <v>6181.7759999999989</v>
      </c>
    </row>
    <row r="8" spans="1:16" ht="18" customHeight="1" x14ac:dyDescent="0.25">
      <c r="A8" s="1" t="s">
        <v>15</v>
      </c>
      <c r="B8" s="67">
        <f>SUM('[2]3rd Fruits 2013-14'!BB7)</f>
        <v>306.68</v>
      </c>
      <c r="C8" s="67">
        <f>SUM('[2]3rd Fruits 2013-14'!BC7)</f>
        <v>4487.1089999999995</v>
      </c>
      <c r="D8" s="67">
        <f>SUM('[2]3rd Vegetables 2013-14'!AT7)</f>
        <v>870.74199999999996</v>
      </c>
      <c r="E8" s="67">
        <f>SUM('[2]3rd Vegetables 2013-14'!AU7)</f>
        <v>16257.857999999997</v>
      </c>
      <c r="F8" s="67">
        <f>'[2]3rd Flowers 2013-14'!AL8</f>
        <v>0.82199999999999995</v>
      </c>
      <c r="G8" s="67">
        <f>'[2]3rd Flowers 2013-14'!AM8</f>
        <v>7.633</v>
      </c>
      <c r="H8" s="67">
        <f>'[2]3rd Flowers 2013-14'!AN8</f>
        <v>2.7435192307692309</v>
      </c>
      <c r="I8" s="67">
        <v>4.2009999999999996</v>
      </c>
      <c r="J8" s="67">
        <v>0.53300000000000003</v>
      </c>
      <c r="K8" s="67">
        <f>SUM('[2]3rd Spices 2013-14'!AJ7)</f>
        <v>13.010000000000002</v>
      </c>
      <c r="L8" s="67">
        <f>SUM('[2]3rd Spices 2013-14'!AK7)</f>
        <v>12.54</v>
      </c>
      <c r="M8" s="67">
        <f>SUM('[2]3rd Plantations 2013-14'!J7)</f>
        <v>15.263</v>
      </c>
      <c r="N8" s="67">
        <f>SUM('[2]3rd Plantations 2013-14'!K7)</f>
        <v>96.926000000000002</v>
      </c>
      <c r="O8" s="68">
        <f t="shared" si="0"/>
        <v>1210.7179999999998</v>
      </c>
      <c r="P8" s="68">
        <f t="shared" si="0"/>
        <v>20862.598999999998</v>
      </c>
    </row>
    <row r="9" spans="1:16" ht="18" customHeight="1" x14ac:dyDescent="0.25">
      <c r="A9" s="1" t="s">
        <v>55</v>
      </c>
      <c r="B9" s="67">
        <f>SUM('[2]3rd Fruits 2013-14'!BB8)</f>
        <v>212.87999999999997</v>
      </c>
      <c r="C9" s="67">
        <f>SUM('[2]3rd Fruits 2013-14'!BC8)</f>
        <v>1930.1799999999998</v>
      </c>
      <c r="D9" s="67">
        <f>SUM('[2]3rd Vegetables 2013-14'!AT8)</f>
        <v>403.43000000000006</v>
      </c>
      <c r="E9" s="67">
        <f>SUM('[2]3rd Vegetables 2013-14'!AU8)</f>
        <v>5465.9199999999992</v>
      </c>
      <c r="F9" s="67">
        <f>'[2]3rd Flowers 2013-14'!AL9</f>
        <v>10.129999999999999</v>
      </c>
      <c r="G9" s="67">
        <f>'[2]3rd Flowers 2013-14'!AM9</f>
        <v>45.73</v>
      </c>
      <c r="H9" s="67">
        <f>'[2]3rd Flowers 2013-14'!AN9</f>
        <v>0</v>
      </c>
      <c r="I9" s="67">
        <v>8.44</v>
      </c>
      <c r="J9" s="67">
        <v>50.25</v>
      </c>
      <c r="K9" s="67">
        <f>SUM('[2]3rd Spices 2013-14'!AJ8)</f>
        <v>12.307</v>
      </c>
      <c r="L9" s="67">
        <f>SUM('[2]3rd Spices 2013-14'!AK8)</f>
        <v>15.370000000000001</v>
      </c>
      <c r="M9" s="67">
        <f>SUM('[2]3rd Plantations 2013-14'!J8)</f>
        <v>18.52</v>
      </c>
      <c r="N9" s="67">
        <f>SUM('[2]3rd Plantations 2013-14'!K8)</f>
        <v>25.58</v>
      </c>
      <c r="O9" s="68">
        <f t="shared" si="0"/>
        <v>665.70700000000011</v>
      </c>
      <c r="P9" s="68">
        <f t="shared" si="0"/>
        <v>7533.0299999999979</v>
      </c>
    </row>
    <row r="10" spans="1:16" ht="18" customHeight="1" x14ac:dyDescent="0.25">
      <c r="A10" s="1" t="s">
        <v>16</v>
      </c>
      <c r="B10" s="67">
        <f>SUM('[2]3rd Fruits 2013-14'!BB9)</f>
        <v>0</v>
      </c>
      <c r="C10" s="67">
        <f>SUM('[2]3rd Fruits 2013-14'!BC9)</f>
        <v>0</v>
      </c>
      <c r="D10" s="67">
        <f>SUM('[2]3rd Vegetables 2013-14'!AT9)</f>
        <v>1.1000000000000001</v>
      </c>
      <c r="E10" s="67">
        <f>SUM('[2]3rd Vegetables 2013-14'!AU9)</f>
        <v>5.5</v>
      </c>
      <c r="F10" s="67">
        <f>'[2]3rd Flowers 2013-14'!AL10</f>
        <v>0</v>
      </c>
      <c r="G10" s="67">
        <f>'[2]3rd Flowers 2013-14'!AM10</f>
        <v>0</v>
      </c>
      <c r="H10" s="67">
        <f>'[2]3rd Flowers 2013-14'!AN10</f>
        <v>0</v>
      </c>
      <c r="I10" s="67"/>
      <c r="J10" s="67"/>
      <c r="K10" s="67"/>
      <c r="L10" s="67"/>
      <c r="M10" s="67">
        <f>SUM('[2]3rd Plantations 2013-14'!J9)</f>
        <v>0</v>
      </c>
      <c r="N10" s="67">
        <f>SUM('[2]3rd Plantations 2013-14'!K9)</f>
        <v>0</v>
      </c>
      <c r="O10" s="68">
        <f t="shared" si="0"/>
        <v>1.1000000000000001</v>
      </c>
      <c r="P10" s="68">
        <f t="shared" si="0"/>
        <v>5.5</v>
      </c>
    </row>
    <row r="11" spans="1:16" ht="18" customHeight="1" x14ac:dyDescent="0.25">
      <c r="A11" s="1" t="s">
        <v>17</v>
      </c>
      <c r="B11" s="67">
        <f>SUM('[2]3rd Fruits 2013-14'!BB10)</f>
        <v>0</v>
      </c>
      <c r="C11" s="67">
        <f>SUM('[2]3rd Fruits 2013-14'!BC10)</f>
        <v>0</v>
      </c>
      <c r="D11" s="67">
        <f>SUM('[2]3rd Vegetables 2013-14'!AT10)</f>
        <v>0</v>
      </c>
      <c r="E11" s="67">
        <f>SUM('[2]3rd Vegetables 2013-14'!AU10)</f>
        <v>0</v>
      </c>
      <c r="F11" s="67">
        <f>'[2]3rd Flowers 2013-14'!AL11</f>
        <v>0</v>
      </c>
      <c r="G11" s="67">
        <f>'[2]3rd Flowers 2013-14'!AM11</f>
        <v>0</v>
      </c>
      <c r="H11" s="67">
        <f>'[2]3rd Flowers 2013-14'!AN11</f>
        <v>0</v>
      </c>
      <c r="I11" s="67"/>
      <c r="J11" s="67"/>
      <c r="K11" s="67"/>
      <c r="L11" s="67"/>
      <c r="M11" s="67">
        <f>SUM('[2]3rd Plantations 2013-14'!J10)</f>
        <v>0</v>
      </c>
      <c r="N11" s="67">
        <f>SUM('[2]3rd Plantations 2013-14'!K10)</f>
        <v>0</v>
      </c>
      <c r="O11" s="68">
        <f t="shared" si="0"/>
        <v>0</v>
      </c>
      <c r="P11" s="68">
        <f t="shared" si="0"/>
        <v>0</v>
      </c>
    </row>
    <row r="12" spans="1:16" ht="18" customHeight="1" x14ac:dyDescent="0.25">
      <c r="A12" s="1" t="s">
        <v>18</v>
      </c>
      <c r="B12" s="67">
        <f>SUM('[2]3rd Fruits 2013-14'!BB11)</f>
        <v>0</v>
      </c>
      <c r="C12" s="67">
        <f>SUM('[2]3rd Fruits 2013-14'!BC11)</f>
        <v>0</v>
      </c>
      <c r="D12" s="67">
        <f>SUM('[2]3rd Vegetables 2013-14'!AT11)</f>
        <v>27.295999999999999</v>
      </c>
      <c r="E12" s="67">
        <f>SUM('[2]3rd Vegetables 2013-14'!AU11)</f>
        <v>436.94799999999998</v>
      </c>
      <c r="F12" s="67">
        <f>'[2]3rd Flowers 2013-14'!AL12</f>
        <v>5.5</v>
      </c>
      <c r="G12" s="67">
        <f>'[2]3rd Flowers 2013-14'!AM12</f>
        <v>5.7</v>
      </c>
      <c r="H12" s="67">
        <f>'[2]3rd Flowers 2013-14'!AN12</f>
        <v>5.7666666666666666</v>
      </c>
      <c r="I12" s="67"/>
      <c r="J12" s="67"/>
      <c r="K12" s="67"/>
      <c r="L12" s="67"/>
      <c r="M12" s="67">
        <f>SUM('[2]3rd Plantations 2013-14'!J11)</f>
        <v>0</v>
      </c>
      <c r="N12" s="67">
        <f>SUM('[2]3rd Plantations 2013-14'!K11)</f>
        <v>0</v>
      </c>
      <c r="O12" s="68">
        <f t="shared" si="0"/>
        <v>32.795999999999999</v>
      </c>
      <c r="P12" s="68">
        <f t="shared" si="0"/>
        <v>442.64799999999997</v>
      </c>
    </row>
    <row r="13" spans="1:16" ht="18" customHeight="1" x14ac:dyDescent="0.25">
      <c r="A13" s="1" t="s">
        <v>19</v>
      </c>
      <c r="B13" s="67">
        <f>SUM('[2]3rd Fruits 2013-14'!BB12)</f>
        <v>11.276999999999999</v>
      </c>
      <c r="C13" s="67">
        <f>SUM('[2]3rd Fruits 2013-14'!BC12)</f>
        <v>81.191000000000003</v>
      </c>
      <c r="D13" s="67">
        <f>SUM('[2]3rd Vegetables 2013-14'!AT12)</f>
        <v>7.0039999999999996</v>
      </c>
      <c r="E13" s="67">
        <f>SUM('[2]3rd Vegetables 2013-14'!AU12)</f>
        <v>79.92</v>
      </c>
      <c r="F13" s="67">
        <f>'[2]3rd Flowers 2013-14'!AL13</f>
        <v>6.5000000000000006E-3</v>
      </c>
      <c r="G13" s="67">
        <f>'[2]3rd Flowers 2013-14'!AM13</f>
        <v>2.3E-2</v>
      </c>
      <c r="H13" s="67">
        <f>'[2]3rd Flowers 2013-14'!AN13</f>
        <v>0.10041880341880342</v>
      </c>
      <c r="I13" s="67"/>
      <c r="J13" s="67"/>
      <c r="K13" s="67">
        <f>SUM('[2]3rd Spices 2013-14'!AJ9)</f>
        <v>0.73</v>
      </c>
      <c r="L13" s="67">
        <f>SUM('[2]3rd Spices 2013-14'!AK9)</f>
        <v>0.23</v>
      </c>
      <c r="M13" s="67">
        <f>SUM('[2]3rd Plantations 2013-14'!J12)</f>
        <v>85.449999999999989</v>
      </c>
      <c r="N13" s="67">
        <f>SUM('[2]3rd Plantations 2013-14'!K12)</f>
        <v>123.4</v>
      </c>
      <c r="O13" s="68">
        <f t="shared" si="0"/>
        <v>104.46749999999999</v>
      </c>
      <c r="P13" s="68">
        <f t="shared" si="0"/>
        <v>284.76400000000001</v>
      </c>
    </row>
    <row r="14" spans="1:16" ht="18" customHeight="1" x14ac:dyDescent="0.25">
      <c r="A14" s="1" t="s">
        <v>20</v>
      </c>
      <c r="B14" s="67">
        <f>SUM('[2]3rd Fruits 2013-14'!BB13)</f>
        <v>381.5</v>
      </c>
      <c r="C14" s="67">
        <f>SUM('[2]3rd Fruits 2013-14'!BC13)</f>
        <v>8413.17</v>
      </c>
      <c r="D14" s="67">
        <f>SUM('[2]3rd Vegetables 2013-14'!AT13)</f>
        <v>573.72</v>
      </c>
      <c r="E14" s="67">
        <f>SUM('[2]3rd Vegetables 2013-14'!AU13)</f>
        <v>11304.481999999998</v>
      </c>
      <c r="F14" s="67">
        <f>'[2]3rd Flowers 2013-14'!AL14</f>
        <v>17.27</v>
      </c>
      <c r="G14" s="67">
        <f>'[2]3rd Flowers 2013-14'!AM14</f>
        <v>149.27000000000001</v>
      </c>
      <c r="H14" s="67">
        <f>'[2]3rd Flowers 2013-14'!AN14</f>
        <v>0</v>
      </c>
      <c r="I14" s="67"/>
      <c r="J14" s="67"/>
      <c r="K14" s="67">
        <f>SUM('[2]3rd Spices 2013-14'!AJ10)</f>
        <v>541.81500000000005</v>
      </c>
      <c r="L14" s="67">
        <f>SUM('[2]3rd Spices 2013-14'!AK10)</f>
        <v>848.48</v>
      </c>
      <c r="M14" s="67">
        <f>SUM('[2]3rd Plantations 2013-14'!J13)</f>
        <v>29.09</v>
      </c>
      <c r="N14" s="67">
        <f>SUM('[2]3rd Plantations 2013-14'!K13)</f>
        <v>246.4</v>
      </c>
      <c r="O14" s="68">
        <f t="shared" si="0"/>
        <v>1543.395</v>
      </c>
      <c r="P14" s="68">
        <f t="shared" si="0"/>
        <v>20961.802</v>
      </c>
    </row>
    <row r="15" spans="1:16" ht="18" customHeight="1" x14ac:dyDescent="0.25">
      <c r="A15" s="1" t="s">
        <v>21</v>
      </c>
      <c r="B15" s="67">
        <f>SUM('[2]3rd Fruits 2013-14'!BB14)</f>
        <v>50.53</v>
      </c>
      <c r="C15" s="67">
        <f>SUM('[2]3rd Fruits 2013-14'!BC14)</f>
        <v>552.47</v>
      </c>
      <c r="D15" s="67">
        <f>SUM('[2]3rd Vegetables 2013-14'!AT14)</f>
        <v>373.17000000000007</v>
      </c>
      <c r="E15" s="67">
        <f>SUM('[2]3rd Vegetables 2013-14'!AU14)</f>
        <v>5563.34</v>
      </c>
      <c r="F15" s="67">
        <f>'[2]3rd Flowers 2013-14'!AL15</f>
        <v>6.48</v>
      </c>
      <c r="G15" s="67">
        <f>'[2]3rd Flowers 2013-14'!AM15</f>
        <v>65.45</v>
      </c>
      <c r="H15" s="67">
        <f>'[2]3rd Flowers 2013-14'!AN15</f>
        <v>11.247668650793649</v>
      </c>
      <c r="I15" s="67">
        <v>1.75</v>
      </c>
      <c r="J15" s="67">
        <v>1.135</v>
      </c>
      <c r="K15" s="67">
        <f>SUM('[2]3rd Spices 2013-14'!AJ11)</f>
        <v>16.125</v>
      </c>
      <c r="L15" s="67">
        <f>SUM('[2]3rd Spices 2013-14'!AK11)</f>
        <v>82.82</v>
      </c>
      <c r="M15" s="67">
        <f>SUM('[2]3rd Plantations 2013-14'!J14)</f>
        <v>0</v>
      </c>
      <c r="N15" s="67">
        <f>SUM('[2]3rd Plantations 2013-14'!K14)</f>
        <v>0</v>
      </c>
      <c r="O15" s="68">
        <f t="shared" si="0"/>
        <v>448.05500000000006</v>
      </c>
      <c r="P15" s="68">
        <f t="shared" si="0"/>
        <v>6265.2150000000001</v>
      </c>
    </row>
    <row r="16" spans="1:16" ht="18" customHeight="1" x14ac:dyDescent="0.25">
      <c r="A16" s="1" t="s">
        <v>22</v>
      </c>
      <c r="B16" s="67">
        <f>SUM('[2]3rd Fruits 2013-14'!BB15)</f>
        <v>218.02999999999997</v>
      </c>
      <c r="C16" s="67">
        <f>SUM('[2]3rd Fruits 2013-14'!BC15)</f>
        <v>866.34400000000005</v>
      </c>
      <c r="D16" s="67">
        <f>SUM('[2]3rd Vegetables 2013-14'!AT15)</f>
        <v>78.98599999999999</v>
      </c>
      <c r="E16" s="67">
        <f>SUM('[2]3rd Vegetables 2013-14'!AU15)</f>
        <v>1514.432</v>
      </c>
      <c r="F16" s="67">
        <f>'[2]3rd Flowers 2013-14'!AL16</f>
        <v>0.8256699999999999</v>
      </c>
      <c r="G16" s="67">
        <f>'[2]3rd Flowers 2013-14'!AM16</f>
        <v>28.141979999999997</v>
      </c>
      <c r="H16" s="67">
        <f>'[2]3rd Flowers 2013-14'!AN16</f>
        <v>12.358117384004883</v>
      </c>
      <c r="I16" s="67">
        <v>1.1100000000000001</v>
      </c>
      <c r="J16" s="67">
        <v>0.89709000000000005</v>
      </c>
      <c r="K16" s="67">
        <f>SUM('[2]3rd Spices 2013-14'!AJ12)</f>
        <v>8.4300000000000015</v>
      </c>
      <c r="L16" s="67">
        <f>SUM('[2]3rd Spices 2013-14'!AK12)</f>
        <v>14.16</v>
      </c>
      <c r="M16" s="67">
        <f>SUM('[2]3rd Plantations 2013-14'!J15)</f>
        <v>0</v>
      </c>
      <c r="N16" s="67">
        <f>SUM('[2]3rd Plantations 2013-14'!K15)</f>
        <v>0</v>
      </c>
      <c r="O16" s="68">
        <f t="shared" si="0"/>
        <v>307.38166999999999</v>
      </c>
      <c r="P16" s="68">
        <f t="shared" si="0"/>
        <v>2423.9750699999995</v>
      </c>
    </row>
    <row r="17" spans="1:16" ht="18" customHeight="1" x14ac:dyDescent="0.25">
      <c r="A17" s="1" t="s">
        <v>23</v>
      </c>
      <c r="B17" s="67">
        <f>SUM('[2]3rd Fruits 2013-14'!BB16)</f>
        <v>355.53400000000005</v>
      </c>
      <c r="C17" s="67">
        <f>SUM('[2]3rd Fruits 2013-14'!BC16)</f>
        <v>2072.6769999999997</v>
      </c>
      <c r="D17" s="67">
        <f>SUM('[2]3rd Vegetables 2013-14'!AT16)</f>
        <v>63.056999999999988</v>
      </c>
      <c r="E17" s="67">
        <f>SUM('[2]3rd Vegetables 2013-14'!AU16)</f>
        <v>1395.4720000000002</v>
      </c>
      <c r="F17" s="67">
        <f>'[2]3rd Flowers 2013-14'!AL17</f>
        <v>0.90074999999999983</v>
      </c>
      <c r="G17" s="67">
        <f>'[2]3rd Flowers 2013-14'!AM17</f>
        <v>0.40200000000000002</v>
      </c>
      <c r="H17" s="67">
        <f>'[2]3rd Flowers 2013-14'!AN17</f>
        <v>1.7307389499389498</v>
      </c>
      <c r="I17" s="67"/>
      <c r="J17" s="67"/>
      <c r="K17" s="67">
        <f>SUM('[2]3rd Spices 2013-14'!AJ13)</f>
        <v>4.944</v>
      </c>
      <c r="L17" s="67">
        <f>SUM('[2]3rd Spices 2013-14'!AK13)</f>
        <v>1.07</v>
      </c>
      <c r="M17" s="67">
        <f>SUM('[2]3rd Plantations 2013-14'!J16)</f>
        <v>0</v>
      </c>
      <c r="N17" s="67">
        <f>SUM('[2]3rd Plantations 2013-14'!K16)</f>
        <v>0</v>
      </c>
      <c r="O17" s="68">
        <f t="shared" si="0"/>
        <v>424.43575000000004</v>
      </c>
      <c r="P17" s="68">
        <f t="shared" si="0"/>
        <v>3469.6210000000001</v>
      </c>
    </row>
    <row r="18" spans="1:16" ht="18" customHeight="1" x14ac:dyDescent="0.25">
      <c r="A18" s="1" t="s">
        <v>24</v>
      </c>
      <c r="B18" s="67">
        <f>SUM('[2]3rd Fruits 2013-14'!BB17)</f>
        <v>93.169999999999987</v>
      </c>
      <c r="C18" s="67">
        <f>SUM('[2]3rd Fruits 2013-14'!BC17)</f>
        <v>890.03499999999997</v>
      </c>
      <c r="D18" s="67">
        <f>SUM('[2]3rd Vegetables 2013-14'!AT17)</f>
        <v>313.60969999999998</v>
      </c>
      <c r="E18" s="67">
        <f>SUM('[2]3rd Vegetables 2013-14'!AU17)</f>
        <v>4238.1339999999991</v>
      </c>
      <c r="F18" s="67">
        <f>'[2]3rd Flowers 2013-14'!AL18</f>
        <v>1.6</v>
      </c>
      <c r="G18" s="67">
        <f>'[2]3rd Flowers 2013-14'!AM18</f>
        <v>22.026</v>
      </c>
      <c r="H18" s="67">
        <f>'[2]3rd Flowers 2013-14'!AN18</f>
        <v>9.5055555555555564</v>
      </c>
      <c r="I18" s="67"/>
      <c r="J18" s="67"/>
      <c r="K18" s="67">
        <f>SUM('[2]3rd Spices 2013-14'!AJ14)</f>
        <v>0</v>
      </c>
      <c r="L18" s="67">
        <f>SUM('[2]3rd Spices 2013-14'!AK14)</f>
        <v>0</v>
      </c>
      <c r="M18" s="67">
        <f>SUM('[2]3rd Plantations 2013-14'!J17)</f>
        <v>15</v>
      </c>
      <c r="N18" s="67">
        <f>SUM('[2]3rd Plantations 2013-14'!K17)</f>
        <v>1.2</v>
      </c>
      <c r="O18" s="68">
        <f t="shared" si="0"/>
        <v>423.37969999999996</v>
      </c>
      <c r="P18" s="68">
        <f t="shared" si="0"/>
        <v>5151.3949999999986</v>
      </c>
    </row>
    <row r="19" spans="1:16" ht="18" customHeight="1" x14ac:dyDescent="0.25">
      <c r="A19" s="1" t="s">
        <v>25</v>
      </c>
      <c r="B19" s="67">
        <f>SUM('[2]3rd Fruits 2013-14'!BB18)</f>
        <v>396</v>
      </c>
      <c r="C19" s="67">
        <f>SUM('[2]3rd Fruits 2013-14'!BC18)</f>
        <v>6651.5999999999995</v>
      </c>
      <c r="D19" s="67">
        <f>SUM('[2]3rd Vegetables 2013-14'!AT18)</f>
        <v>418.79999999999995</v>
      </c>
      <c r="E19" s="67">
        <f>SUM('[2]3rd Vegetables 2013-14'!AU18)</f>
        <v>7500.7</v>
      </c>
      <c r="F19" s="67">
        <f>'[2]3rd Flowers 2013-14'!AL19</f>
        <v>30.6</v>
      </c>
      <c r="G19" s="67">
        <f>'[2]3rd Flowers 2013-14'!AM19</f>
        <v>211.5</v>
      </c>
      <c r="H19" s="67">
        <f>'[2]3rd Flowers 2013-14'!AN19</f>
        <v>71.525856532356528</v>
      </c>
      <c r="I19" s="67">
        <v>3.9</v>
      </c>
      <c r="J19" s="67">
        <v>22</v>
      </c>
      <c r="K19" s="67">
        <f>SUM('[2]3rd Spices 2013-14'!AJ15)</f>
        <v>216.26000000000002</v>
      </c>
      <c r="L19" s="67">
        <f>SUM('[2]3rd Spices 2013-14'!AK15)</f>
        <v>381.28</v>
      </c>
      <c r="M19" s="67">
        <f>SUM('[2]3rd Plantations 2013-14'!J18)</f>
        <v>874.46299999999997</v>
      </c>
      <c r="N19" s="67">
        <f>SUM('[2]3rd Plantations 2013-14'!K18)</f>
        <v>3910.982</v>
      </c>
      <c r="O19" s="68">
        <f t="shared" si="0"/>
        <v>1940.0229999999999</v>
      </c>
      <c r="P19" s="68">
        <f t="shared" si="0"/>
        <v>18678.061999999998</v>
      </c>
    </row>
    <row r="20" spans="1:16" ht="18" customHeight="1" x14ac:dyDescent="0.25">
      <c r="A20" s="1" t="s">
        <v>26</v>
      </c>
      <c r="B20" s="67">
        <f>SUM('[2]3rd Fruits 2013-14'!BB19)</f>
        <v>314.55700000000002</v>
      </c>
      <c r="C20" s="67">
        <f>SUM('[2]3rd Fruits 2013-14'!BC19)</f>
        <v>2584.0119999999997</v>
      </c>
      <c r="D20" s="67">
        <f>SUM('[2]3rd Vegetables 2013-14'!AT19)</f>
        <v>145.99900000000002</v>
      </c>
      <c r="E20" s="67">
        <f>SUM('[2]3rd Vegetables 2013-14'!AU19)</f>
        <v>3445.58</v>
      </c>
      <c r="F20" s="67">
        <f>'[2]3rd Flowers 2013-14'!AL20</f>
        <v>0</v>
      </c>
      <c r="G20" s="67">
        <f>'[2]3rd Flowers 2013-14'!AM20</f>
        <v>0</v>
      </c>
      <c r="H20" s="67">
        <f>'[2]3rd Flowers 2013-14'!AN20</f>
        <v>0</v>
      </c>
      <c r="I20" s="67"/>
      <c r="J20" s="67"/>
      <c r="K20" s="67">
        <f>SUM('[2]3rd Spices 2013-14'!AJ16)</f>
        <v>166.95599999999999</v>
      </c>
      <c r="L20" s="67">
        <f>SUM('[2]3rd Spices 2013-14'!AK16)</f>
        <v>114.06</v>
      </c>
      <c r="M20" s="67">
        <f>SUM('[2]3rd Plantations 2013-14'!J19)</f>
        <v>998.66500000000008</v>
      </c>
      <c r="N20" s="67">
        <f>SUM('[2]3rd Plantations 2013-14'!K19)</f>
        <v>4193.1899999999996</v>
      </c>
      <c r="O20" s="68">
        <f t="shared" si="0"/>
        <v>1626.1770000000001</v>
      </c>
      <c r="P20" s="68">
        <f t="shared" si="0"/>
        <v>10336.842000000001</v>
      </c>
    </row>
    <row r="21" spans="1:16" ht="18" customHeight="1" x14ac:dyDescent="0.25">
      <c r="A21" s="1" t="s">
        <v>56</v>
      </c>
      <c r="B21" s="67">
        <f>SUM('[2]3rd Fruits 2013-14'!BB20)</f>
        <v>0.22200000000000003</v>
      </c>
      <c r="C21" s="67">
        <f>SUM('[2]3rd Fruits 2013-14'!BC20)</f>
        <v>0.48344999999999999</v>
      </c>
      <c r="D21" s="67">
        <f>SUM('[2]3rd Vegetables 2013-14'!AT20)</f>
        <v>0.2505</v>
      </c>
      <c r="E21" s="67">
        <f>SUM('[2]3rd Vegetables 2013-14'!AU20)</f>
        <v>0.33059000000000005</v>
      </c>
      <c r="F21" s="67">
        <f>'[2]3rd Flowers 2013-14'!AL21</f>
        <v>0</v>
      </c>
      <c r="G21" s="67">
        <f>'[2]3rd Flowers 2013-14'!AM21</f>
        <v>0</v>
      </c>
      <c r="H21" s="67">
        <f>'[2]3rd Flowers 2013-14'!AN21</f>
        <v>0</v>
      </c>
      <c r="I21" s="67"/>
      <c r="J21" s="67"/>
      <c r="K21" s="67"/>
      <c r="L21" s="67"/>
      <c r="M21" s="67">
        <f>SUM('[2]3rd Plantations 2013-14'!J20)</f>
        <v>2.57</v>
      </c>
      <c r="N21" s="67">
        <f>SUM('[2]3rd Plantations 2013-14'!K20)</f>
        <v>48.8</v>
      </c>
      <c r="O21" s="68">
        <f t="shared" si="0"/>
        <v>3.0425</v>
      </c>
      <c r="P21" s="68">
        <f t="shared" si="0"/>
        <v>49.614039999999996</v>
      </c>
    </row>
    <row r="22" spans="1:16" ht="18" customHeight="1" x14ac:dyDescent="0.25">
      <c r="A22" s="1" t="s">
        <v>27</v>
      </c>
      <c r="B22" s="67">
        <f>SUM('[2]3rd Fruits 2013-14'!BB21)</f>
        <v>203.78900000000002</v>
      </c>
      <c r="C22" s="67">
        <f>SUM('[2]3rd Fruits 2013-14'!BC21)</f>
        <v>5691.9000000000005</v>
      </c>
      <c r="D22" s="67">
        <f>SUM('[2]3rd Vegetables 2013-14'!AT21)</f>
        <v>628.43200000000013</v>
      </c>
      <c r="E22" s="67">
        <f>SUM('[2]3rd Vegetables 2013-14'!AU21)</f>
        <v>12930.5</v>
      </c>
      <c r="F22" s="67">
        <f>'[2]3rd Flowers 2013-14'!AL22</f>
        <v>17.064</v>
      </c>
      <c r="G22" s="67">
        <f>'[2]3rd Flowers 2013-14'!AM22</f>
        <v>199.5</v>
      </c>
      <c r="H22" s="67">
        <f>'[2]3rd Flowers 2013-14'!AN22</f>
        <v>0</v>
      </c>
      <c r="I22" s="67">
        <v>63.95</v>
      </c>
      <c r="J22" s="67">
        <v>404.6</v>
      </c>
      <c r="K22" s="67">
        <f>SUM('[2]3rd Spices 2013-14'!AJ17)</f>
        <v>284.90999999999997</v>
      </c>
      <c r="L22" s="67">
        <f>SUM('[2]3rd Spices 2013-14'!AK17)</f>
        <v>454.16999999999996</v>
      </c>
      <c r="M22" s="67">
        <f>SUM('[2]3rd Plantations 2013-14'!J21)</f>
        <v>0</v>
      </c>
      <c r="N22" s="67">
        <f>SUM('[2]3rd Plantations 2013-14'!K21)</f>
        <v>0</v>
      </c>
      <c r="O22" s="68">
        <f t="shared" si="0"/>
        <v>1198.145</v>
      </c>
      <c r="P22" s="68">
        <f t="shared" si="0"/>
        <v>19680.669999999998</v>
      </c>
    </row>
    <row r="23" spans="1:16" ht="18" customHeight="1" x14ac:dyDescent="0.25">
      <c r="A23" s="1" t="s">
        <v>28</v>
      </c>
      <c r="B23" s="67">
        <f>SUM('[2]3rd Fruits 2013-14'!BB22)</f>
        <v>1565</v>
      </c>
      <c r="C23" s="67">
        <f>SUM('[2]3rd Fruits 2013-14'!BC22)</f>
        <v>11132</v>
      </c>
      <c r="D23" s="67">
        <f>SUM('[2]3rd Vegetables 2013-14'!AT22)</f>
        <v>726</v>
      </c>
      <c r="E23" s="67">
        <f>SUM('[2]3rd Vegetables 2013-14'!AU22)</f>
        <v>10416</v>
      </c>
      <c r="F23" s="67">
        <f>'[2]3rd Flowers 2013-14'!AL23</f>
        <v>23</v>
      </c>
      <c r="G23" s="67">
        <f>'[2]3rd Flowers 2013-14'!AM23</f>
        <v>120</v>
      </c>
      <c r="H23" s="67">
        <f>'[2]3rd Flowers 2013-14'!AN23</f>
        <v>43.966666666666669</v>
      </c>
      <c r="I23" s="67"/>
      <c r="J23" s="67"/>
      <c r="K23" s="67">
        <f>SUM('[2]3rd Spices 2013-14'!AJ18)</f>
        <v>120.76</v>
      </c>
      <c r="L23" s="67">
        <f>SUM('[2]3rd Spices 2013-14'!AK18)</f>
        <v>109.04</v>
      </c>
      <c r="M23" s="67">
        <f>SUM('[2]3rd Plantations 2013-14'!J22)</f>
        <v>214.48199999999997</v>
      </c>
      <c r="N23" s="67">
        <f>SUM('[2]3rd Plantations 2013-14'!K22)</f>
        <v>375.21000000000004</v>
      </c>
      <c r="O23" s="68">
        <f t="shared" si="0"/>
        <v>2649.2420000000002</v>
      </c>
      <c r="P23" s="68">
        <f t="shared" si="0"/>
        <v>22152.25</v>
      </c>
    </row>
    <row r="24" spans="1:16" ht="18" customHeight="1" x14ac:dyDescent="0.25">
      <c r="A24" s="1" t="s">
        <v>29</v>
      </c>
      <c r="B24" s="67">
        <f>SUM('[2]3rd Fruits 2013-14'!BB23)</f>
        <v>54.05</v>
      </c>
      <c r="C24" s="67">
        <f>SUM('[2]3rd Fruits 2013-14'!BC23)</f>
        <v>515.69000000000005</v>
      </c>
      <c r="D24" s="67">
        <f>SUM('[2]3rd Vegetables 2013-14'!AT23)</f>
        <v>25.19</v>
      </c>
      <c r="E24" s="67">
        <f>SUM('[2]3rd Vegetables 2013-14'!AU23)</f>
        <v>271.03999999999996</v>
      </c>
      <c r="F24" s="67">
        <f>'[2]3rd Flowers 2013-14'!AL24</f>
        <v>0.76100000000000001</v>
      </c>
      <c r="G24" s="67">
        <f>'[2]3rd Flowers 2013-14'!AM24</f>
        <v>0.28000000000000003</v>
      </c>
      <c r="H24" s="67">
        <f>'[2]3rd Flowers 2013-14'!AN24</f>
        <v>1.2313553113553113E-2</v>
      </c>
      <c r="I24" s="67"/>
      <c r="J24" s="67"/>
      <c r="K24" s="67">
        <f>SUM('[2]3rd Spices 2013-14'!AJ19)</f>
        <v>10.47</v>
      </c>
      <c r="L24" s="67">
        <f>SUM('[2]3rd Spices 2013-14'!AK19)</f>
        <v>24.14</v>
      </c>
      <c r="M24" s="67">
        <f>SUM('[2]3rd Plantations 2013-14'!J23)</f>
        <v>0</v>
      </c>
      <c r="N24" s="67">
        <f>SUM('[2]3rd Plantations 2013-14'!K23)</f>
        <v>0</v>
      </c>
      <c r="O24" s="68">
        <f t="shared" si="0"/>
        <v>90.470999999999989</v>
      </c>
      <c r="P24" s="68">
        <f t="shared" si="0"/>
        <v>811.15</v>
      </c>
    </row>
    <row r="25" spans="1:16" ht="18" customHeight="1" x14ac:dyDescent="0.25">
      <c r="A25" s="1" t="s">
        <v>30</v>
      </c>
      <c r="B25" s="67">
        <f>SUM('[2]3rd Fruits 2013-14'!BB24)</f>
        <v>35.296999999999997</v>
      </c>
      <c r="C25" s="67">
        <f>SUM('[2]3rd Fruits 2013-14'!BC24)</f>
        <v>348.30199999999996</v>
      </c>
      <c r="D25" s="67">
        <f>SUM('[2]3rd Vegetables 2013-14'!AT24)</f>
        <v>41.416000000000011</v>
      </c>
      <c r="E25" s="67">
        <f>SUM('[2]3rd Vegetables 2013-14'!AU24)</f>
        <v>427.89699999999993</v>
      </c>
      <c r="F25" s="67">
        <f>'[2]3rd Flowers 2013-14'!AL25</f>
        <v>1.2E-2</v>
      </c>
      <c r="G25" s="67">
        <f>'[2]3rd Flowers 2013-14'!AM25</f>
        <v>0</v>
      </c>
      <c r="H25" s="67">
        <f>'[2]3rd Flowers 2013-14'!AN25</f>
        <v>4.615384615384615</v>
      </c>
      <c r="I25" s="67"/>
      <c r="J25" s="67"/>
      <c r="K25" s="67">
        <f>SUM('[2]3rd Spices 2013-14'!AJ20)</f>
        <v>17.389999999999997</v>
      </c>
      <c r="L25" s="67">
        <f>SUM('[2]3rd Spices 2013-14'!AK20)</f>
        <v>74.809999999999988</v>
      </c>
      <c r="M25" s="67">
        <f>SUM('[2]3rd Plantations 2013-14'!J24)</f>
        <v>23.119999999999997</v>
      </c>
      <c r="N25" s="67">
        <f>SUM('[2]3rd Plantations 2013-14'!K24)</f>
        <v>29.939999999999998</v>
      </c>
      <c r="O25" s="68">
        <f t="shared" si="0"/>
        <v>117.23500000000001</v>
      </c>
      <c r="P25" s="68">
        <f t="shared" si="0"/>
        <v>880.94899999999984</v>
      </c>
    </row>
    <row r="26" spans="1:16" ht="18" customHeight="1" x14ac:dyDescent="0.25">
      <c r="A26" s="1" t="s">
        <v>31</v>
      </c>
      <c r="B26" s="67">
        <f>SUM('[2]3rd Fruits 2013-14'!BB25)</f>
        <v>57.893000000000001</v>
      </c>
      <c r="C26" s="67">
        <f>SUM('[2]3rd Fruits 2013-14'!BC25)</f>
        <v>344.42999999999995</v>
      </c>
      <c r="D26" s="67">
        <f>SUM('[2]3rd Vegetables 2013-14'!AT25)</f>
        <v>42.872000000000007</v>
      </c>
      <c r="E26" s="67">
        <f>SUM('[2]3rd Vegetables 2013-14'!AU25)</f>
        <v>260.52200000000005</v>
      </c>
      <c r="F26" s="67">
        <f>'[2]3rd Flowers 2013-14'!AL26</f>
        <v>0.23599999999999999</v>
      </c>
      <c r="G26" s="67">
        <f>'[2]3rd Flowers 2013-14'!AM26</f>
        <v>171.47</v>
      </c>
      <c r="H26" s="67">
        <f>'[2]3rd Flowers 2013-14'!AN26</f>
        <v>3.020169719169719</v>
      </c>
      <c r="I26" s="67">
        <v>1.1100000000000001</v>
      </c>
      <c r="J26" s="67">
        <v>0.89709000000000005</v>
      </c>
      <c r="K26" s="67">
        <f>SUM('[2]3rd Spices 2013-14'!AJ21)</f>
        <v>22.470000000000002</v>
      </c>
      <c r="L26" s="67">
        <f>SUM('[2]3rd Spices 2013-14'!AK21)</f>
        <v>59.61999999999999</v>
      </c>
      <c r="M26" s="67">
        <f>SUM('[2]3rd Plantations 2013-14'!J25)</f>
        <v>7.6319999999999997</v>
      </c>
      <c r="N26" s="67">
        <f>SUM('[2]3rd Plantations 2013-14'!K25)</f>
        <v>4.4340000000000002</v>
      </c>
      <c r="O26" s="68">
        <f t="shared" si="0"/>
        <v>132.21300000000002</v>
      </c>
      <c r="P26" s="68">
        <f t="shared" si="0"/>
        <v>841.37309000000005</v>
      </c>
    </row>
    <row r="27" spans="1:16" ht="18" customHeight="1" x14ac:dyDescent="0.25">
      <c r="A27" s="1" t="s">
        <v>32</v>
      </c>
      <c r="B27" s="67">
        <f>SUM('[2]3rd Fruits 2013-14'!BB26)</f>
        <v>40.160000000000004</v>
      </c>
      <c r="C27" s="67">
        <f>SUM('[2]3rd Fruits 2013-14'!BC26)</f>
        <v>375.74</v>
      </c>
      <c r="D27" s="67">
        <f>SUM('[2]3rd Vegetables 2013-14'!AT26)</f>
        <v>52.47999999999999</v>
      </c>
      <c r="E27" s="67">
        <f>SUM('[2]3rd Vegetables 2013-14'!AU26)</f>
        <v>483.39</v>
      </c>
      <c r="F27" s="67">
        <f>'[2]3rd Flowers 2013-14'!AL27</f>
        <v>9.8200000000000006E-3</v>
      </c>
      <c r="G27" s="67">
        <f>'[2]3rd Flowers 2013-14'!AM27</f>
        <v>0</v>
      </c>
      <c r="H27" s="67">
        <f>'[2]3rd Flowers 2013-14'!AN27</f>
        <v>0.39846141636141641</v>
      </c>
      <c r="I27" s="67"/>
      <c r="J27" s="67"/>
      <c r="K27" s="67">
        <f>SUM('[2]3rd Spices 2013-14'!AJ22)</f>
        <v>9.77</v>
      </c>
      <c r="L27" s="67">
        <f>SUM('[2]3rd Spices 2013-14'!AK22)</f>
        <v>39.159999999999997</v>
      </c>
      <c r="M27" s="67">
        <f>SUM('[2]3rd Plantations 2013-14'!J26)</f>
        <v>1.6199999999999999</v>
      </c>
      <c r="N27" s="67">
        <f>SUM('[2]3rd Plantations 2013-14'!K26)</f>
        <v>11.319999999999999</v>
      </c>
      <c r="O27" s="68">
        <f t="shared" si="0"/>
        <v>104.03981999999999</v>
      </c>
      <c r="P27" s="68">
        <f t="shared" si="0"/>
        <v>909.61</v>
      </c>
    </row>
    <row r="28" spans="1:16" ht="18" customHeight="1" x14ac:dyDescent="0.25">
      <c r="A28" s="1" t="s">
        <v>189</v>
      </c>
      <c r="B28" s="67">
        <f>SUM('[2]3rd Fruits 2013-14'!BB27)</f>
        <v>325.86</v>
      </c>
      <c r="C28" s="67">
        <f>SUM('[2]3rd Fruits 2013-14'!BC27)</f>
        <v>2148.27</v>
      </c>
      <c r="D28" s="67">
        <f>SUM('[2]3rd Vegetables 2013-14'!AT27)</f>
        <v>677.33</v>
      </c>
      <c r="E28" s="67">
        <f>SUM('[2]3rd Vegetables 2013-14'!AU27)</f>
        <v>9433.6600000000017</v>
      </c>
      <c r="F28" s="67">
        <f>'[2]3rd Flowers 2013-14'!AL28</f>
        <v>7.4359999999999999</v>
      </c>
      <c r="G28" s="67">
        <f>'[2]3rd Flowers 2013-14'!AM28</f>
        <v>37.400999999999996</v>
      </c>
      <c r="H28" s="67">
        <f>'[2]3rd Flowers 2013-14'!AN28</f>
        <v>57.41346153846154</v>
      </c>
      <c r="I28" s="67">
        <v>1.921</v>
      </c>
      <c r="J28" s="67">
        <v>0.64</v>
      </c>
      <c r="K28" s="67">
        <f>SUM('[2]3rd Spices 2013-14'!AJ23)</f>
        <v>123.32400000000001</v>
      </c>
      <c r="L28" s="67">
        <f>SUM('[2]3rd Spices 2013-14'!AK23)</f>
        <v>181.5</v>
      </c>
      <c r="M28" s="67">
        <f>SUM('[2]3rd Plantations 2013-14'!J27)</f>
        <v>217.69</v>
      </c>
      <c r="N28" s="67">
        <f>SUM('[2]3rd Plantations 2013-14'!K27)</f>
        <v>577.71</v>
      </c>
      <c r="O28" s="68">
        <f t="shared" si="0"/>
        <v>1353.5610000000001</v>
      </c>
      <c r="P28" s="68">
        <f t="shared" si="0"/>
        <v>12379.181</v>
      </c>
    </row>
    <row r="29" spans="1:16" ht="18" customHeight="1" x14ac:dyDescent="0.25">
      <c r="A29" s="1" t="s">
        <v>167</v>
      </c>
      <c r="B29" s="67">
        <f>SUM('[2]3rd Fruits 2013-14'!BB28)</f>
        <v>0.64100000000000013</v>
      </c>
      <c r="C29" s="67">
        <f>SUM('[2]3rd Fruits 2013-14'!BC28)</f>
        <v>12.578999999999999</v>
      </c>
      <c r="D29" s="67">
        <f>SUM('[2]3rd Vegetables 2013-14'!AT28)</f>
        <v>0.90400000000000003</v>
      </c>
      <c r="E29" s="67">
        <f>SUM('[2]3rd Vegetables 2013-14'!AU28)</f>
        <v>16.259</v>
      </c>
      <c r="F29" s="67">
        <f>'[2]3rd Flowers 2013-14'!AL29</f>
        <v>0.14050000000000001</v>
      </c>
      <c r="G29" s="67">
        <f>'[2]3rd Flowers 2013-14'!AM29</f>
        <v>1.1970000000000001</v>
      </c>
      <c r="H29" s="67">
        <f>'[2]3rd Flowers 2013-14'!AN29</f>
        <v>0</v>
      </c>
      <c r="I29" s="67"/>
      <c r="J29" s="67"/>
      <c r="K29" s="67">
        <f>SUM('[2]3rd Spices 2013-14'!AJ24)</f>
        <v>0.09</v>
      </c>
      <c r="L29" s="67">
        <f>SUM('[2]3rd Spices 2013-14'!AK24)</f>
        <v>0.38</v>
      </c>
      <c r="M29" s="67">
        <f>SUM('[2]3rd Plantations 2013-14'!J28)</f>
        <v>2.0179999999999998</v>
      </c>
      <c r="N29" s="67">
        <f>SUM('[2]3rd Plantations 2013-14'!K28)</f>
        <v>23.54</v>
      </c>
      <c r="O29" s="68">
        <f t="shared" si="0"/>
        <v>3.7934999999999999</v>
      </c>
      <c r="P29" s="68">
        <f t="shared" si="0"/>
        <v>53.954999999999998</v>
      </c>
    </row>
    <row r="30" spans="1:16" ht="18" customHeight="1" x14ac:dyDescent="0.25">
      <c r="A30" s="1" t="s">
        <v>33</v>
      </c>
      <c r="B30" s="67">
        <f>SUM('[2]3rd Fruits 2013-14'!BB29)</f>
        <v>76.949999999999989</v>
      </c>
      <c r="C30" s="67">
        <f>SUM('[2]3rd Fruits 2013-14'!BC29)</f>
        <v>1528.6100000000001</v>
      </c>
      <c r="D30" s="67">
        <f>SUM('[2]3rd Vegetables 2013-14'!AT29)</f>
        <v>191.00000000000003</v>
      </c>
      <c r="E30" s="67">
        <f>SUM('[2]3rd Vegetables 2013-14'!AU29)</f>
        <v>3922.2799999999997</v>
      </c>
      <c r="F30" s="67">
        <f>'[2]3rd Flowers 2013-14'!AL30</f>
        <v>1.35</v>
      </c>
      <c r="G30" s="67">
        <f>'[2]3rd Flowers 2013-14'!AM30</f>
        <v>10.46</v>
      </c>
      <c r="H30" s="67">
        <f>'[2]3rd Flowers 2013-14'!AN30</f>
        <v>0</v>
      </c>
      <c r="I30" s="67">
        <v>9.07</v>
      </c>
      <c r="J30" s="67">
        <v>1.67</v>
      </c>
      <c r="K30" s="67">
        <f>SUM('[2]3rd Spices 2013-14'!AJ25)</f>
        <v>19.149999999999999</v>
      </c>
      <c r="L30" s="67">
        <f>SUM('[2]3rd Spices 2013-14'!AK25)</f>
        <v>70.92</v>
      </c>
      <c r="M30" s="67">
        <f>SUM('[2]3rd Plantations 2013-14'!J29)</f>
        <v>0</v>
      </c>
      <c r="N30" s="67">
        <f>SUM('[2]3rd Plantations 2013-14'!K29)</f>
        <v>0</v>
      </c>
      <c r="O30" s="68">
        <f t="shared" si="0"/>
        <v>297.52000000000004</v>
      </c>
      <c r="P30" s="68">
        <f t="shared" si="0"/>
        <v>5533.94</v>
      </c>
    </row>
    <row r="31" spans="1:16" ht="18" customHeight="1" x14ac:dyDescent="0.25">
      <c r="A31" s="1" t="s">
        <v>34</v>
      </c>
      <c r="B31" s="67">
        <f>SUM('[2]3rd Fruits 2013-14'!BB30)</f>
        <v>57.120000000000005</v>
      </c>
      <c r="C31" s="67">
        <f>SUM('[2]3rd Fruits 2013-14'!BC30)</f>
        <v>778.45</v>
      </c>
      <c r="D31" s="67">
        <f>SUM('[2]3rd Vegetables 2013-14'!AT30)</f>
        <v>165.17000000000002</v>
      </c>
      <c r="E31" s="67">
        <f>SUM('[2]3rd Vegetables 2013-14'!AU30)</f>
        <v>1705.0900000000001</v>
      </c>
      <c r="F31" s="67">
        <f>'[2]3rd Flowers 2013-14'!AL31</f>
        <v>3.43</v>
      </c>
      <c r="G31" s="67">
        <f>'[2]3rd Flowers 2013-14'!AM31</f>
        <v>3.72</v>
      </c>
      <c r="H31" s="67">
        <f>'[2]3rd Flowers 2013-14'!AN31</f>
        <v>0</v>
      </c>
      <c r="I31" s="67">
        <v>298.27999999999997</v>
      </c>
      <c r="J31" s="67">
        <v>159.5</v>
      </c>
      <c r="K31" s="67">
        <f>SUM('[2]3rd Spices 2013-14'!AJ26)</f>
        <v>866.31899999999996</v>
      </c>
      <c r="L31" s="67">
        <f>SUM('[2]3rd Spices 2013-14'!AK26)</f>
        <v>785.68</v>
      </c>
      <c r="M31" s="67">
        <f>SUM('[2]3rd Plantations 2013-14'!J30)</f>
        <v>0</v>
      </c>
      <c r="N31" s="67">
        <f>SUM('[2]3rd Plantations 2013-14'!K30)</f>
        <v>0</v>
      </c>
      <c r="O31" s="68">
        <f t="shared" si="0"/>
        <v>1390.319</v>
      </c>
      <c r="P31" s="68">
        <f t="shared" si="0"/>
        <v>3432.4399999999996</v>
      </c>
    </row>
    <row r="32" spans="1:16" ht="18" customHeight="1" x14ac:dyDescent="0.25">
      <c r="A32" s="1" t="s">
        <v>35</v>
      </c>
      <c r="B32" s="67">
        <f>SUM('[2]3rd Fruits 2013-14'!BB31)</f>
        <v>16.024000000000001</v>
      </c>
      <c r="C32" s="67">
        <f>SUM('[2]3rd Fruits 2013-14'!BC31)</f>
        <v>24.041</v>
      </c>
      <c r="D32" s="67">
        <f>SUM('[2]3rd Vegetables 2013-14'!AT31)</f>
        <v>26.021000000000001</v>
      </c>
      <c r="E32" s="67">
        <f>SUM('[2]3rd Vegetables 2013-14'!AU31)</f>
        <v>134.05699999999999</v>
      </c>
      <c r="F32" s="67">
        <f>'[2]3rd Flowers 2013-14'!AL32</f>
        <v>0.23599999999999999</v>
      </c>
      <c r="G32" s="67">
        <f>'[2]3rd Flowers 2013-14'!AM32</f>
        <v>28.2</v>
      </c>
      <c r="H32" s="67">
        <f>'[2]3rd Flowers 2013-14'!AN32</f>
        <v>1.7438614163614163</v>
      </c>
      <c r="I32" s="67"/>
      <c r="J32" s="67"/>
      <c r="K32" s="67">
        <f>SUM('[2]3rd Spices 2013-14'!AJ27)</f>
        <v>32.06</v>
      </c>
      <c r="L32" s="67">
        <f>SUM('[2]3rd Spices 2013-14'!AK27)</f>
        <v>55.8</v>
      </c>
      <c r="M32" s="67">
        <f>SUM('[2]3rd Plantations 2013-14'!J31)</f>
        <v>0</v>
      </c>
      <c r="N32" s="67">
        <f>SUM('[2]3rd Plantations 2013-14'!K31)</f>
        <v>0</v>
      </c>
      <c r="O32" s="68">
        <f t="shared" si="0"/>
        <v>74.341000000000008</v>
      </c>
      <c r="P32" s="68">
        <f t="shared" si="0"/>
        <v>242.09799999999996</v>
      </c>
    </row>
    <row r="33" spans="1:16" ht="18" customHeight="1" x14ac:dyDescent="0.25">
      <c r="A33" s="1" t="s">
        <v>57</v>
      </c>
      <c r="B33" s="67">
        <f>SUM('[2]3rd Fruits 2013-14'!BB32)</f>
        <v>328.55000000000007</v>
      </c>
      <c r="C33" s="67">
        <f>SUM('[2]3rd Fruits 2013-14'!BC32)</f>
        <v>7369.86</v>
      </c>
      <c r="D33" s="67">
        <f>SUM('[2]3rd Vegetables 2013-14'!AT32)</f>
        <v>289.74</v>
      </c>
      <c r="E33" s="67">
        <f>SUM('[2]3rd Vegetables 2013-14'!AU32)</f>
        <v>8678.8200000000015</v>
      </c>
      <c r="F33" s="67">
        <f>'[2]3rd Flowers 2013-14'!AL33</f>
        <v>30.89</v>
      </c>
      <c r="G33" s="67">
        <f>'[2]3rd Flowers 2013-14'!AM33</f>
        <v>343.65</v>
      </c>
      <c r="H33" s="67">
        <f>'[2]3rd Flowers 2013-14'!AN33</f>
        <v>7.1377777777777771</v>
      </c>
      <c r="I33" s="67">
        <v>16.37</v>
      </c>
      <c r="J33" s="67">
        <v>162.12</v>
      </c>
      <c r="K33" s="67">
        <f>SUM('[2]3rd Spices 2013-14'!AJ28)</f>
        <v>165.99700000000001</v>
      </c>
      <c r="L33" s="67">
        <f>SUM('[2]3rd Spices 2013-14'!AK28)</f>
        <v>554.52</v>
      </c>
      <c r="M33" s="67">
        <f>SUM('[2]3rd Plantations 2013-14'!J32)</f>
        <v>634.577</v>
      </c>
      <c r="N33" s="67">
        <f>SUM('[2]3rd Plantations 2013-14'!K32)</f>
        <v>4842.3310000000001</v>
      </c>
      <c r="O33" s="68">
        <f t="shared" si="0"/>
        <v>1466.124</v>
      </c>
      <c r="P33" s="68">
        <f t="shared" si="0"/>
        <v>21951.300999999999</v>
      </c>
    </row>
    <row r="34" spans="1:16" ht="18" customHeight="1" x14ac:dyDescent="0.25">
      <c r="A34" s="1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  <c r="P34" s="68"/>
    </row>
    <row r="35" spans="1:16" ht="18" customHeight="1" x14ac:dyDescent="0.25">
      <c r="A35" s="1" t="s">
        <v>37</v>
      </c>
      <c r="B35" s="67">
        <f>SUM('[2]3rd Fruits 2013-14'!BB33)</f>
        <v>60.570000000000014</v>
      </c>
      <c r="C35" s="67">
        <f>SUM('[2]3rd Fruits 2013-14'!BC33)</f>
        <v>638.78009999999995</v>
      </c>
      <c r="D35" s="67">
        <f>SUM('[2]3rd Vegetables 2013-14'!AT33)</f>
        <v>45.58</v>
      </c>
      <c r="E35" s="67">
        <f>SUM('[2]3rd Vegetables 2013-14'!AU33)</f>
        <v>760.16000000000008</v>
      </c>
      <c r="F35" s="67">
        <f>'[2]3rd Flowers 2013-14'!AL34</f>
        <v>0</v>
      </c>
      <c r="G35" s="67">
        <f>'[2]3rd Flowers 2013-14'!AM34</f>
        <v>0</v>
      </c>
      <c r="H35" s="67">
        <f>'[2]3rd Flowers 2013-14'!AN34</f>
        <v>0</v>
      </c>
      <c r="I35" s="67"/>
      <c r="J35" s="67"/>
      <c r="K35" s="67">
        <f>SUM('[2]3rd Spices 2013-14'!AJ29)</f>
        <v>5.69</v>
      </c>
      <c r="L35" s="67">
        <f>SUM('[2]3rd Spices 2013-14'!AK29)</f>
        <v>18.04</v>
      </c>
      <c r="M35" s="67">
        <f>SUM('[2]3rd Plantations 2013-14'!J33)</f>
        <v>15.38</v>
      </c>
      <c r="N35" s="67">
        <f>SUM('[2]3rd Plantations 2013-14'!K33)</f>
        <v>34.019999999999996</v>
      </c>
      <c r="O35" s="68">
        <f t="shared" si="0"/>
        <v>127.22</v>
      </c>
      <c r="P35" s="68">
        <f t="shared" si="0"/>
        <v>1451.0001</v>
      </c>
    </row>
    <row r="36" spans="1:16" ht="18" customHeight="1" x14ac:dyDescent="0.25">
      <c r="A36" s="1" t="s">
        <v>38</v>
      </c>
      <c r="B36" s="67">
        <f>SUM('[2]3rd Fruits 2013-14'!BB34)</f>
        <v>378.96499999999997</v>
      </c>
      <c r="C36" s="67">
        <f>SUM('[2]3rd Fruits 2013-14'!BC34)</f>
        <v>6887.4539999999997</v>
      </c>
      <c r="D36" s="67">
        <f>SUM('[2]3rd Vegetables 2013-14'!AT34)</f>
        <v>897.24599999999998</v>
      </c>
      <c r="E36" s="67">
        <f>SUM('[2]3rd Vegetables 2013-14'!AU34)</f>
        <v>19430.770000000004</v>
      </c>
      <c r="F36" s="67">
        <f>'[2]3rd Flowers 2013-14'!AL35</f>
        <v>16.577999999999999</v>
      </c>
      <c r="G36" s="67">
        <f>'[2]3rd Flowers 2013-14'!AM35</f>
        <v>32.158999999999999</v>
      </c>
      <c r="H36" s="67">
        <f>'[2]3rd Flowers 2013-14'!AN35</f>
        <v>54.058653846153845</v>
      </c>
      <c r="I36" s="67">
        <v>133.69999999999999</v>
      </c>
      <c r="J36" s="67">
        <v>13.4</v>
      </c>
      <c r="K36" s="67">
        <f>SUM('[2]3rd Spices 2013-14'!AJ30)</f>
        <v>60.472999999999992</v>
      </c>
      <c r="L36" s="67">
        <f>SUM('[2]3rd Spices 2013-14'!AK30)</f>
        <v>213.28</v>
      </c>
      <c r="M36" s="67">
        <f>SUM('[2]3rd Plantations 2013-14'!J34)</f>
        <v>0</v>
      </c>
      <c r="N36" s="67">
        <f>SUM('[2]3rd Plantations 2013-14'!K34)</f>
        <v>0</v>
      </c>
      <c r="O36" s="68">
        <f t="shared" si="0"/>
        <v>1486.962</v>
      </c>
      <c r="P36" s="68">
        <f t="shared" si="0"/>
        <v>26577.063000000002</v>
      </c>
    </row>
    <row r="37" spans="1:16" ht="18" customHeight="1" x14ac:dyDescent="0.25">
      <c r="A37" s="1" t="s">
        <v>90</v>
      </c>
      <c r="B37" s="67">
        <f>SUM('[2]3rd Fruits 2013-14'!BB35)</f>
        <v>200.851</v>
      </c>
      <c r="C37" s="67">
        <f>SUM('[2]3rd Fruits 2013-14'!BC35)</f>
        <v>805.66800000000001</v>
      </c>
      <c r="D37" s="67">
        <f>SUM('[2]3rd Vegetables 2013-14'!AT35)</f>
        <v>88.032999999999987</v>
      </c>
      <c r="E37" s="67">
        <f>SUM('[2]3rd Vegetables 2013-14'!AU35)</f>
        <v>1059.5709999999999</v>
      </c>
      <c r="F37" s="67">
        <f>'[2]3rd Flowers 2013-14'!AL36</f>
        <v>1.5609999999999999</v>
      </c>
      <c r="G37" s="67">
        <f>'[2]3rd Flowers 2013-14'!AM36</f>
        <v>1.8240000000000001</v>
      </c>
      <c r="H37" s="67">
        <f>'[2]3rd Flowers 2013-14'!AN36</f>
        <v>20.183333333333334</v>
      </c>
      <c r="I37" s="67"/>
      <c r="J37" s="67"/>
      <c r="K37" s="67">
        <f>SUM('[2]3rd Spices 2013-14'!AJ31)</f>
        <v>8.0850000000000009</v>
      </c>
      <c r="L37" s="67">
        <f>SUM('[2]3rd Spices 2013-14'!AK31)</f>
        <v>41.08</v>
      </c>
      <c r="M37" s="67">
        <f>SUM('[2]3rd Plantations 2013-14'!J35)</f>
        <v>0</v>
      </c>
      <c r="N37" s="67">
        <f>SUM('[2]3rd Plantations 2013-14'!K35)</f>
        <v>0</v>
      </c>
      <c r="O37" s="68">
        <f t="shared" si="0"/>
        <v>298.52999999999997</v>
      </c>
      <c r="P37" s="68">
        <f t="shared" si="0"/>
        <v>1908.143</v>
      </c>
    </row>
    <row r="38" spans="1:16" ht="18" customHeight="1" x14ac:dyDescent="0.25">
      <c r="A38" s="1" t="s">
        <v>40</v>
      </c>
      <c r="B38" s="67">
        <f>SUM('[2]3rd Fruits 2013-14'!BB36)</f>
        <v>223.49999999999997</v>
      </c>
      <c r="C38" s="67">
        <f>SUM('[2]3rd Fruits 2013-14'!BC36)</f>
        <v>2909.71</v>
      </c>
      <c r="D38" s="67">
        <f>SUM('[2]3rd Vegetables 2013-14'!AT36)</f>
        <v>1383.05</v>
      </c>
      <c r="E38" s="67">
        <f>SUM('[2]3rd Vegetables 2013-14'!AU36)</f>
        <v>25014.950000000004</v>
      </c>
      <c r="F38" s="67">
        <f>'[2]3rd Flowers 2013-14'!AL37</f>
        <v>24.85</v>
      </c>
      <c r="G38" s="67">
        <f>'[2]3rd Flowers 2013-14'!AM37</f>
        <v>66.5</v>
      </c>
      <c r="H38" s="67">
        <f>'[2]3rd Flowers 2013-14'!AN37</f>
        <v>145.19444444444446</v>
      </c>
      <c r="I38" s="67"/>
      <c r="J38" s="67"/>
      <c r="K38" s="67">
        <f>SUM('[2]3rd Spices 2013-14'!AJ32)</f>
        <v>97.559999999999988</v>
      </c>
      <c r="L38" s="67">
        <f>SUM('[2]3rd Spices 2013-14'!AK32)</f>
        <v>207.72</v>
      </c>
      <c r="M38" s="67">
        <f>SUM('[2]3rd Plantations 2013-14'!J36)</f>
        <v>51.85</v>
      </c>
      <c r="N38" s="67">
        <f>SUM('[2]3rd Plantations 2013-14'!K36)</f>
        <v>289.40999999999997</v>
      </c>
      <c r="O38" s="68">
        <f t="shared" si="0"/>
        <v>1780.8099999999997</v>
      </c>
      <c r="P38" s="68">
        <f t="shared" si="0"/>
        <v>28488.290000000005</v>
      </c>
    </row>
    <row r="39" spans="1:16" ht="18" customHeight="1" x14ac:dyDescent="0.25">
      <c r="A39" s="1" t="s">
        <v>75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8"/>
      <c r="P39" s="68"/>
    </row>
    <row r="40" spans="1:16" ht="20.25" customHeight="1" x14ac:dyDescent="0.25">
      <c r="A40" s="1" t="s">
        <v>9</v>
      </c>
      <c r="B40" s="68">
        <f>SUM(B4:B39)</f>
        <v>7185.9949999999999</v>
      </c>
      <c r="C40" s="68">
        <f t="shared" ref="C40:N40" si="1">SUM(C4:C39)</f>
        <v>86822.188550000006</v>
      </c>
      <c r="D40" s="68">
        <f t="shared" si="1"/>
        <v>9567.2281999999996</v>
      </c>
      <c r="E40" s="68">
        <f t="shared" si="1"/>
        <v>168142.36658999999</v>
      </c>
      <c r="F40" s="68">
        <f t="shared" si="1"/>
        <v>240.91433999999995</v>
      </c>
      <c r="G40" s="68">
        <f t="shared" si="1"/>
        <v>1823.6597800000004</v>
      </c>
      <c r="H40" s="68">
        <f t="shared" si="1"/>
        <v>542.34407437423692</v>
      </c>
      <c r="I40" s="68">
        <f t="shared" si="1"/>
        <v>553.60099999999989</v>
      </c>
      <c r="J40" s="68">
        <f t="shared" si="1"/>
        <v>931.49717999999996</v>
      </c>
      <c r="K40" s="68">
        <f t="shared" si="1"/>
        <v>3235.8959999999997</v>
      </c>
      <c r="L40" s="68">
        <f t="shared" si="1"/>
        <v>5931.8999999999987</v>
      </c>
      <c r="M40" s="68">
        <f t="shared" si="1"/>
        <v>3674.3229999999999</v>
      </c>
      <c r="N40" s="68">
        <f t="shared" si="1"/>
        <v>16598.172999999999</v>
      </c>
      <c r="O40" s="68">
        <f>SUM(O4:O38)</f>
        <v>24457.957539999999</v>
      </c>
      <c r="P40" s="68">
        <f>SUM(P4:P38)</f>
        <v>280249.78509999998</v>
      </c>
    </row>
    <row r="41" spans="1:16" ht="14.25" customHeight="1" x14ac:dyDescent="0.2">
      <c r="A41" s="69" t="s">
        <v>182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1"/>
      <c r="N41" s="71"/>
    </row>
    <row r="42" spans="1:16" ht="14.25" customHeight="1" x14ac:dyDescent="0.2">
      <c r="A42" s="276" t="s">
        <v>210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</row>
    <row r="43" spans="1:16" ht="14.25" customHeight="1" x14ac:dyDescent="0.2">
      <c r="A43" s="72" t="s">
        <v>180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</row>
    <row r="44" spans="1:16" ht="14.25" customHeight="1" x14ac:dyDescent="0.2">
      <c r="A44" s="73" t="s">
        <v>225</v>
      </c>
      <c r="B44" s="73"/>
      <c r="C44" s="73"/>
      <c r="D44" s="73"/>
      <c r="E44" s="73"/>
      <c r="F44" s="73"/>
    </row>
  </sheetData>
  <mergeCells count="9">
    <mergeCell ref="O1:P1"/>
    <mergeCell ref="G2:H2"/>
    <mergeCell ref="A42:N42"/>
    <mergeCell ref="B1:C1"/>
    <mergeCell ref="D1:E1"/>
    <mergeCell ref="F1:H1"/>
    <mergeCell ref="I1:J1"/>
    <mergeCell ref="K1:L1"/>
    <mergeCell ref="M1:N1"/>
  </mergeCells>
  <printOptions horizontalCentered="1" verticalCentered="1"/>
  <pageMargins left="0.2" right="0.25" top="0.5" bottom="0.25" header="0.5" footer="0.25"/>
  <pageSetup scale="65" orientation="landscape" r:id="rId1"/>
  <headerFooter alignWithMargins="0">
    <oddHeader xml:space="preserve">&amp;C&amp;"Times New Roman,Bold"&amp;14&amp;UArea and Production of Horticulture Crops 2013-14 (3rd Advance Estimates)&amp;R&amp;"Times New Roman,Bold"&amp;8Area in '000 Ha 
Production in '000 MT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0"/>
  <sheetViews>
    <sheetView workbookViewId="0">
      <pane xSplit="1" ySplit="2" topLeftCell="B36" activePane="bottomRight" state="frozen"/>
      <selection sqref="A1:K2"/>
      <selection pane="topRight" sqref="A1:K2"/>
      <selection pane="bottomLeft" sqref="A1:K2"/>
      <selection pane="bottomRight" activeCell="A38" sqref="A38:IV38"/>
    </sheetView>
  </sheetViews>
  <sheetFormatPr defaultRowHeight="26.25" customHeight="1" x14ac:dyDescent="0.25"/>
  <cols>
    <col min="1" max="1" width="27.7109375" style="75" customWidth="1"/>
    <col min="2" max="3" width="11.85546875" style="75" customWidth="1"/>
    <col min="4" max="5" width="18.5703125" style="75" customWidth="1"/>
    <col min="6" max="55" width="11.85546875" style="75" customWidth="1"/>
    <col min="56" max="16384" width="9.140625" style="75"/>
  </cols>
  <sheetData>
    <row r="1" spans="1:55" ht="24.75" customHeight="1" x14ac:dyDescent="0.25">
      <c r="A1" s="74" t="s">
        <v>202</v>
      </c>
      <c r="B1" s="280" t="s">
        <v>91</v>
      </c>
      <c r="C1" s="280"/>
      <c r="D1" s="278" t="s">
        <v>213</v>
      </c>
      <c r="E1" s="279"/>
      <c r="F1" s="278" t="s">
        <v>0</v>
      </c>
      <c r="G1" s="279"/>
      <c r="H1" s="278" t="s">
        <v>92</v>
      </c>
      <c r="I1" s="279"/>
      <c r="J1" s="278" t="s">
        <v>1</v>
      </c>
      <c r="K1" s="279"/>
      <c r="L1" s="278" t="s">
        <v>93</v>
      </c>
      <c r="M1" s="279"/>
      <c r="N1" s="281" t="s">
        <v>94</v>
      </c>
      <c r="O1" s="282"/>
      <c r="P1" s="280" t="s">
        <v>95</v>
      </c>
      <c r="Q1" s="280"/>
      <c r="R1" s="280" t="s">
        <v>2</v>
      </c>
      <c r="S1" s="280"/>
      <c r="T1" s="278" t="s">
        <v>96</v>
      </c>
      <c r="U1" s="279"/>
      <c r="V1" s="280" t="s">
        <v>97</v>
      </c>
      <c r="W1" s="280"/>
      <c r="X1" s="280" t="s">
        <v>3</v>
      </c>
      <c r="Y1" s="280"/>
      <c r="Z1" s="280" t="s">
        <v>4</v>
      </c>
      <c r="AA1" s="280"/>
      <c r="AB1" s="280" t="s">
        <v>5</v>
      </c>
      <c r="AC1" s="280"/>
      <c r="AD1" s="278" t="s">
        <v>98</v>
      </c>
      <c r="AE1" s="279"/>
      <c r="AF1" s="278" t="s">
        <v>99</v>
      </c>
      <c r="AG1" s="279"/>
      <c r="AH1" s="280" t="s">
        <v>100</v>
      </c>
      <c r="AI1" s="280"/>
      <c r="AJ1" s="280" t="s">
        <v>101</v>
      </c>
      <c r="AK1" s="280"/>
      <c r="AL1" s="280" t="s">
        <v>102</v>
      </c>
      <c r="AM1" s="280"/>
      <c r="AN1" s="280" t="s">
        <v>6</v>
      </c>
      <c r="AO1" s="280"/>
      <c r="AP1" s="280" t="s">
        <v>103</v>
      </c>
      <c r="AQ1" s="280"/>
      <c r="AR1" s="280" t="s">
        <v>104</v>
      </c>
      <c r="AS1" s="280"/>
      <c r="AT1" s="280" t="s">
        <v>7</v>
      </c>
      <c r="AU1" s="280"/>
      <c r="AV1" s="278" t="s">
        <v>105</v>
      </c>
      <c r="AW1" s="279"/>
      <c r="AX1" s="280" t="s">
        <v>106</v>
      </c>
      <c r="AY1" s="280"/>
      <c r="AZ1" s="280" t="s">
        <v>107</v>
      </c>
      <c r="BA1" s="280"/>
      <c r="BB1" s="280" t="s">
        <v>108</v>
      </c>
      <c r="BC1" s="280"/>
    </row>
    <row r="2" spans="1:55" ht="26.25" customHeight="1" x14ac:dyDescent="0.25">
      <c r="A2" s="76"/>
      <c r="B2" s="74" t="s">
        <v>48</v>
      </c>
      <c r="C2" s="74" t="s">
        <v>10</v>
      </c>
      <c r="D2" s="74" t="s">
        <v>48</v>
      </c>
      <c r="E2" s="74" t="s">
        <v>10</v>
      </c>
      <c r="F2" s="74" t="s">
        <v>48</v>
      </c>
      <c r="G2" s="74" t="s">
        <v>10</v>
      </c>
      <c r="H2" s="74" t="s">
        <v>48</v>
      </c>
      <c r="I2" s="74" t="s">
        <v>10</v>
      </c>
      <c r="J2" s="74" t="s">
        <v>48</v>
      </c>
      <c r="K2" s="74" t="s">
        <v>10</v>
      </c>
      <c r="L2" s="74" t="s">
        <v>48</v>
      </c>
      <c r="M2" s="74" t="s">
        <v>10</v>
      </c>
      <c r="N2" s="74" t="s">
        <v>48</v>
      </c>
      <c r="O2" s="74" t="s">
        <v>10</v>
      </c>
      <c r="P2" s="74" t="s">
        <v>48</v>
      </c>
      <c r="Q2" s="74" t="s">
        <v>10</v>
      </c>
      <c r="R2" s="74" t="s">
        <v>48</v>
      </c>
      <c r="S2" s="74" t="s">
        <v>10</v>
      </c>
      <c r="T2" s="74" t="s">
        <v>48</v>
      </c>
      <c r="U2" s="74" t="s">
        <v>10</v>
      </c>
      <c r="V2" s="74" t="s">
        <v>48</v>
      </c>
      <c r="W2" s="74" t="s">
        <v>10</v>
      </c>
      <c r="X2" s="74" t="s">
        <v>48</v>
      </c>
      <c r="Y2" s="74" t="s">
        <v>10</v>
      </c>
      <c r="Z2" s="74" t="s">
        <v>48</v>
      </c>
      <c r="AA2" s="74" t="s">
        <v>10</v>
      </c>
      <c r="AB2" s="74" t="s">
        <v>48</v>
      </c>
      <c r="AC2" s="74" t="s">
        <v>10</v>
      </c>
      <c r="AD2" s="74" t="s">
        <v>48</v>
      </c>
      <c r="AE2" s="74" t="s">
        <v>10</v>
      </c>
      <c r="AF2" s="74" t="s">
        <v>48</v>
      </c>
      <c r="AG2" s="74" t="s">
        <v>10</v>
      </c>
      <c r="AH2" s="74" t="s">
        <v>48</v>
      </c>
      <c r="AI2" s="74" t="s">
        <v>10</v>
      </c>
      <c r="AJ2" s="74" t="s">
        <v>48</v>
      </c>
      <c r="AK2" s="74" t="s">
        <v>10</v>
      </c>
      <c r="AL2" s="74" t="s">
        <v>48</v>
      </c>
      <c r="AM2" s="74" t="s">
        <v>10</v>
      </c>
      <c r="AN2" s="74" t="s">
        <v>48</v>
      </c>
      <c r="AO2" s="74" t="s">
        <v>10</v>
      </c>
      <c r="AP2" s="74" t="s">
        <v>48</v>
      </c>
      <c r="AQ2" s="74" t="s">
        <v>10</v>
      </c>
      <c r="AR2" s="74" t="s">
        <v>48</v>
      </c>
      <c r="AS2" s="74" t="s">
        <v>10</v>
      </c>
      <c r="AT2" s="74" t="s">
        <v>48</v>
      </c>
      <c r="AU2" s="74" t="s">
        <v>10</v>
      </c>
      <c r="AV2" s="74" t="s">
        <v>48</v>
      </c>
      <c r="AW2" s="74" t="s">
        <v>10</v>
      </c>
      <c r="AX2" s="74" t="s">
        <v>48</v>
      </c>
      <c r="AY2" s="74" t="s">
        <v>10</v>
      </c>
      <c r="AZ2" s="74" t="s">
        <v>48</v>
      </c>
      <c r="BA2" s="74" t="s">
        <v>10</v>
      </c>
      <c r="BB2" s="74" t="s">
        <v>48</v>
      </c>
      <c r="BC2" s="74" t="s">
        <v>10</v>
      </c>
    </row>
    <row r="3" spans="1:55" ht="26.25" customHeight="1" x14ac:dyDescent="0.25">
      <c r="A3" s="77" t="s">
        <v>11</v>
      </c>
      <c r="B3" s="78"/>
      <c r="C3" s="78"/>
      <c r="D3" s="78"/>
      <c r="E3" s="78"/>
      <c r="F3" s="78"/>
      <c r="G3" s="78"/>
      <c r="H3" s="78"/>
      <c r="I3" s="78"/>
      <c r="J3" s="78">
        <v>1.82</v>
      </c>
      <c r="K3" s="78">
        <v>14.04</v>
      </c>
      <c r="L3" s="78"/>
      <c r="M3" s="78"/>
      <c r="N3" s="78">
        <v>0.03</v>
      </c>
      <c r="O3" s="78">
        <v>0.04</v>
      </c>
      <c r="P3" s="78"/>
      <c r="Q3" s="78"/>
      <c r="R3" s="78">
        <v>0.08</v>
      </c>
      <c r="S3" s="78">
        <v>0.21</v>
      </c>
      <c r="T3" s="78"/>
      <c r="U3" s="78"/>
      <c r="V3" s="78"/>
      <c r="W3" s="78"/>
      <c r="X3" s="78"/>
      <c r="Y3" s="78"/>
      <c r="Z3" s="78">
        <v>0.4</v>
      </c>
      <c r="AA3" s="78">
        <v>3.85</v>
      </c>
      <c r="AB3" s="78">
        <v>0.32</v>
      </c>
      <c r="AC3" s="78">
        <v>2.7</v>
      </c>
      <c r="AD3" s="78"/>
      <c r="AE3" s="78"/>
      <c r="AF3" s="79">
        <f>'[2]3rd Citrus 2013-14'!J3</f>
        <v>0.35000000000000003</v>
      </c>
      <c r="AG3" s="79">
        <f>'[2]3rd Citrus 2013-14'!K3</f>
        <v>2.2999999999999998</v>
      </c>
      <c r="AH3" s="78"/>
      <c r="AI3" s="78"/>
      <c r="AJ3" s="78"/>
      <c r="AK3" s="78"/>
      <c r="AL3" s="78"/>
      <c r="AM3" s="78"/>
      <c r="AN3" s="78">
        <v>0.12</v>
      </c>
      <c r="AO3" s="78">
        <v>2.2999999999999998</v>
      </c>
      <c r="AP3" s="78"/>
      <c r="AQ3" s="78"/>
      <c r="AR3" s="78">
        <v>0.01</v>
      </c>
      <c r="AS3" s="78">
        <v>0</v>
      </c>
      <c r="AT3" s="78">
        <v>0.28000000000000003</v>
      </c>
      <c r="AU3" s="78">
        <v>3.29</v>
      </c>
      <c r="AV3" s="78"/>
      <c r="AW3" s="78"/>
      <c r="AX3" s="78"/>
      <c r="AY3" s="78"/>
      <c r="AZ3" s="78">
        <v>0.14000000000000001</v>
      </c>
      <c r="BA3" s="78">
        <v>1</v>
      </c>
      <c r="BB3" s="79">
        <f>B3+D3+F3+H3+J3+L3+N3+P3+R3+T3+V3+X3+Z3+AB3+AD3+AF3+AH3+AJ3+AL3+AN3+AP3+AR3+AT3+AV3+AX3+AZ3</f>
        <v>3.5500000000000003</v>
      </c>
      <c r="BC3" s="79">
        <f>C3+E3+G3+I3+K3+M3+O3+Q3+S3+U3+W3+Y3+AA3+AC3+AE3+AG3+AI3+AK3+AM3+AO3+AQ3+AS3+AU3+AW3+AY3+BA3</f>
        <v>29.73</v>
      </c>
    </row>
    <row r="4" spans="1:55" ht="26.25" customHeight="1" x14ac:dyDescent="0.25">
      <c r="A4" s="77" t="s">
        <v>12</v>
      </c>
      <c r="B4" s="78"/>
      <c r="C4" s="78"/>
      <c r="D4" s="78">
        <v>13.433999999999999</v>
      </c>
      <c r="E4" s="78">
        <v>67.168000000000006</v>
      </c>
      <c r="F4" s="78"/>
      <c r="G4" s="78"/>
      <c r="H4" s="78"/>
      <c r="I4" s="78"/>
      <c r="J4" s="78">
        <v>95.908000000000001</v>
      </c>
      <c r="K4" s="78">
        <v>3356.7809999999999</v>
      </c>
      <c r="L4" s="78">
        <v>0.39200000000000002</v>
      </c>
      <c r="M4" s="78">
        <v>3.9209999999999998</v>
      </c>
      <c r="N4" s="78">
        <v>5.0960000000000001</v>
      </c>
      <c r="O4" s="78">
        <v>30.574999999999999</v>
      </c>
      <c r="P4" s="78">
        <v>1.631</v>
      </c>
      <c r="Q4" s="78">
        <v>34.250999999999998</v>
      </c>
      <c r="R4" s="78">
        <v>12.731</v>
      </c>
      <c r="S4" s="78">
        <v>190.96600000000001</v>
      </c>
      <c r="T4" s="78"/>
      <c r="U4" s="78"/>
      <c r="V4" s="78"/>
      <c r="W4" s="78"/>
      <c r="X4" s="78"/>
      <c r="Y4" s="78"/>
      <c r="Z4" s="78">
        <v>506.87</v>
      </c>
      <c r="AA4" s="78">
        <v>4561.826</v>
      </c>
      <c r="AB4" s="78">
        <v>21.375</v>
      </c>
      <c r="AC4" s="78">
        <v>1710.0219999999999</v>
      </c>
      <c r="AD4" s="78"/>
      <c r="AE4" s="78"/>
      <c r="AF4" s="79">
        <v>262.279</v>
      </c>
      <c r="AG4" s="79">
        <v>3722.9369999999999</v>
      </c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>
        <v>6.4189999999999996</v>
      </c>
      <c r="AS4" s="78">
        <v>64.194000000000003</v>
      </c>
      <c r="AT4" s="78">
        <v>13.64</v>
      </c>
      <c r="AU4" s="78">
        <v>136.39599999999999</v>
      </c>
      <c r="AV4" s="78"/>
      <c r="AW4" s="78"/>
      <c r="AX4" s="78"/>
      <c r="AY4" s="78"/>
      <c r="AZ4" s="78">
        <v>34.027000000000001</v>
      </c>
      <c r="BA4" s="78">
        <v>340.26900000000001</v>
      </c>
      <c r="BB4" s="79">
        <f t="shared" ref="BB4:BC37" si="0">B4+D4+F4+H4+J4+L4+N4+P4+R4+T4+V4+X4+Z4+AB4+AD4+AF4+AH4+AJ4+AL4+AN4+AP4+AR4+AT4+AV4+AX4+AZ4</f>
        <v>973.80200000000002</v>
      </c>
      <c r="BC4" s="79">
        <f t="shared" si="0"/>
        <v>14219.305999999999</v>
      </c>
    </row>
    <row r="5" spans="1:55" ht="26.25" customHeight="1" x14ac:dyDescent="0.25">
      <c r="A5" s="80" t="s">
        <v>13</v>
      </c>
      <c r="B5" s="78"/>
      <c r="C5" s="78"/>
      <c r="D5" s="78"/>
      <c r="E5" s="78"/>
      <c r="F5" s="78">
        <v>14.276</v>
      </c>
      <c r="G5" s="78">
        <v>31.873000000000001</v>
      </c>
      <c r="H5" s="78"/>
      <c r="I5" s="78"/>
      <c r="J5" s="78">
        <v>6.2320000000000002</v>
      </c>
      <c r="K5" s="78">
        <v>19.094999999999999</v>
      </c>
      <c r="L5" s="78"/>
      <c r="M5" s="78"/>
      <c r="N5" s="78"/>
      <c r="O5" s="78"/>
      <c r="P5" s="78"/>
      <c r="Q5" s="78"/>
      <c r="R5" s="78"/>
      <c r="S5" s="78"/>
      <c r="T5" s="78"/>
      <c r="U5" s="78"/>
      <c r="V5" s="78">
        <v>4.0519999999999996</v>
      </c>
      <c r="W5" s="78">
        <v>4.9560000000000004</v>
      </c>
      <c r="X5" s="78"/>
      <c r="Y5" s="78"/>
      <c r="Z5" s="78"/>
      <c r="AA5" s="78"/>
      <c r="AB5" s="78"/>
      <c r="AC5" s="78"/>
      <c r="AD5" s="78"/>
      <c r="AE5" s="78"/>
      <c r="AF5" s="79">
        <f>'[2]3rd Citrus 2013-14'!J5</f>
        <v>39.875999999999998</v>
      </c>
      <c r="AG5" s="79">
        <f>'[2]3rd Citrus 2013-14'!K5</f>
        <v>182.1</v>
      </c>
      <c r="AH5" s="78"/>
      <c r="AI5" s="78"/>
      <c r="AJ5" s="78"/>
      <c r="AK5" s="78"/>
      <c r="AL5" s="78"/>
      <c r="AM5" s="78"/>
      <c r="AN5" s="78">
        <v>12.78</v>
      </c>
      <c r="AO5" s="78">
        <v>69.606999999999999</v>
      </c>
      <c r="AP5" s="78"/>
      <c r="AQ5" s="78"/>
      <c r="AR5" s="78"/>
      <c r="AS5" s="78"/>
      <c r="AT5" s="78"/>
      <c r="AU5" s="78"/>
      <c r="AV5" s="78"/>
      <c r="AW5" s="78"/>
      <c r="AX5" s="78">
        <v>4.9249999999999998</v>
      </c>
      <c r="AY5" s="78">
        <v>0.59099999999999997</v>
      </c>
      <c r="AZ5" s="78">
        <v>6.94</v>
      </c>
      <c r="BA5" s="78">
        <v>13.935</v>
      </c>
      <c r="BB5" s="79">
        <f t="shared" si="0"/>
        <v>89.080999999999989</v>
      </c>
      <c r="BC5" s="79">
        <f t="shared" si="0"/>
        <v>322.15699999999998</v>
      </c>
    </row>
    <row r="6" spans="1:55" ht="26.25" customHeight="1" x14ac:dyDescent="0.25">
      <c r="A6" s="77" t="s">
        <v>14</v>
      </c>
      <c r="B6" s="78"/>
      <c r="C6" s="78"/>
      <c r="D6" s="78">
        <v>0.89900000000000002</v>
      </c>
      <c r="E6" s="78">
        <v>16.271999999999998</v>
      </c>
      <c r="F6" s="78"/>
      <c r="G6" s="78"/>
      <c r="H6" s="78"/>
      <c r="I6" s="78"/>
      <c r="J6" s="78">
        <v>52.024000000000001</v>
      </c>
      <c r="K6" s="78">
        <v>892.73199999999997</v>
      </c>
      <c r="L6" s="78"/>
      <c r="M6" s="78"/>
      <c r="N6" s="78"/>
      <c r="O6" s="78"/>
      <c r="P6" s="78"/>
      <c r="Q6" s="78"/>
      <c r="R6" s="78">
        <v>5.3179999999999996</v>
      </c>
      <c r="S6" s="78">
        <v>107.68899999999999</v>
      </c>
      <c r="T6" s="78">
        <v>23.768000000000001</v>
      </c>
      <c r="U6" s="78">
        <v>231.5</v>
      </c>
      <c r="V6" s="78"/>
      <c r="W6" s="78"/>
      <c r="X6" s="78">
        <v>5.6840000000000002</v>
      </c>
      <c r="Y6" s="78">
        <v>52.604999999999997</v>
      </c>
      <c r="Z6" s="78">
        <v>5.4459999999999997</v>
      </c>
      <c r="AA6" s="78">
        <v>56.338000000000001</v>
      </c>
      <c r="AB6" s="78">
        <v>8.8249999999999993</v>
      </c>
      <c r="AC6" s="78">
        <v>176.45500000000001</v>
      </c>
      <c r="AD6" s="78"/>
      <c r="AE6" s="78"/>
      <c r="AF6" s="79">
        <f>'[2]3rd Citrus 2013-14'!J6</f>
        <v>31.105999999999998</v>
      </c>
      <c r="AG6" s="79">
        <f>'[2]3rd Citrus 2013-14'!K6</f>
        <v>348.04899999999998</v>
      </c>
      <c r="AH6" s="78"/>
      <c r="AI6" s="78"/>
      <c r="AJ6" s="78"/>
      <c r="AK6" s="78"/>
      <c r="AL6" s="78"/>
      <c r="AM6" s="78"/>
      <c r="AN6" s="78">
        <v>16.396999999999998</v>
      </c>
      <c r="AO6" s="78">
        <v>285.71800000000002</v>
      </c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>
        <v>4.4950000000000001</v>
      </c>
      <c r="BA6" s="78">
        <v>42.881999999999998</v>
      </c>
      <c r="BB6" s="79">
        <f t="shared" si="0"/>
        <v>153.96199999999999</v>
      </c>
      <c r="BC6" s="79">
        <f t="shared" si="0"/>
        <v>2210.2399999999998</v>
      </c>
    </row>
    <row r="7" spans="1:55" ht="26.25" customHeight="1" x14ac:dyDescent="0.25">
      <c r="A7" s="77" t="s">
        <v>15</v>
      </c>
      <c r="B7" s="78"/>
      <c r="C7" s="78"/>
      <c r="D7" s="78">
        <v>1.9259999999999999</v>
      </c>
      <c r="E7" s="78">
        <v>17.983000000000001</v>
      </c>
      <c r="F7" s="78"/>
      <c r="G7" s="78"/>
      <c r="H7" s="78"/>
      <c r="I7" s="78"/>
      <c r="J7" s="78">
        <v>34.262</v>
      </c>
      <c r="K7" s="78">
        <v>1791.875</v>
      </c>
      <c r="L7" s="78">
        <v>0.49</v>
      </c>
      <c r="M7" s="78">
        <v>2.6829999999999998</v>
      </c>
      <c r="N7" s="78">
        <v>0.191</v>
      </c>
      <c r="O7" s="78">
        <v>0.79300000000000004</v>
      </c>
      <c r="P7" s="78"/>
      <c r="Q7" s="78"/>
      <c r="R7" s="78">
        <v>30.113</v>
      </c>
      <c r="S7" s="78">
        <v>260.10199999999998</v>
      </c>
      <c r="T7" s="78">
        <v>0.78300000000000003</v>
      </c>
      <c r="U7" s="78">
        <v>14.215</v>
      </c>
      <c r="V7" s="78"/>
      <c r="W7" s="78"/>
      <c r="X7" s="78">
        <v>31.864000000000001</v>
      </c>
      <c r="Y7" s="78">
        <v>257.62299999999999</v>
      </c>
      <c r="Z7" s="78">
        <v>148.953</v>
      </c>
      <c r="AA7" s="78">
        <v>1484.7539999999999</v>
      </c>
      <c r="AB7" s="78">
        <v>2.0640000000000001</v>
      </c>
      <c r="AC7" s="78">
        <v>50.134</v>
      </c>
      <c r="AD7" s="78"/>
      <c r="AE7" s="78"/>
      <c r="AF7" s="79">
        <f>'[2]3rd Citrus 2013-14'!J7</f>
        <v>18.161999999999999</v>
      </c>
      <c r="AG7" s="79">
        <f>'[2]3rd Citrus 2013-14'!K7</f>
        <v>136.41200000000001</v>
      </c>
      <c r="AH7" s="78"/>
      <c r="AI7" s="78"/>
      <c r="AJ7" s="78"/>
      <c r="AK7" s="78"/>
      <c r="AL7" s="78"/>
      <c r="AM7" s="78"/>
      <c r="AN7" s="78">
        <v>5.3019999999999996</v>
      </c>
      <c r="AO7" s="78">
        <v>144.83500000000001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>
        <v>32.57</v>
      </c>
      <c r="BA7" s="78">
        <v>325.7</v>
      </c>
      <c r="BB7" s="79">
        <f t="shared" si="0"/>
        <v>306.68</v>
      </c>
      <c r="BC7" s="79">
        <f t="shared" si="0"/>
        <v>4487.1089999999995</v>
      </c>
    </row>
    <row r="8" spans="1:55" ht="26.25" customHeight="1" x14ac:dyDescent="0.25">
      <c r="A8" s="77" t="s">
        <v>197</v>
      </c>
      <c r="B8" s="78"/>
      <c r="C8" s="78"/>
      <c r="D8" s="78">
        <v>3.21</v>
      </c>
      <c r="E8" s="78">
        <v>37.659999999999997</v>
      </c>
      <c r="F8" s="78"/>
      <c r="G8" s="78"/>
      <c r="H8" s="78"/>
      <c r="I8" s="78"/>
      <c r="J8" s="78">
        <v>20.79</v>
      </c>
      <c r="K8" s="78">
        <v>498.81</v>
      </c>
      <c r="L8" s="78">
        <v>4.03</v>
      </c>
      <c r="M8" s="78">
        <v>76.13</v>
      </c>
      <c r="N8" s="78">
        <v>7.75</v>
      </c>
      <c r="O8" s="78">
        <v>36.65</v>
      </c>
      <c r="P8" s="78"/>
      <c r="Q8" s="78"/>
      <c r="R8" s="78">
        <v>19.27</v>
      </c>
      <c r="S8" s="78">
        <v>162.77000000000001</v>
      </c>
      <c r="T8" s="78">
        <v>8.3800000000000008</v>
      </c>
      <c r="U8" s="78">
        <v>158.76</v>
      </c>
      <c r="V8" s="78"/>
      <c r="W8" s="78"/>
      <c r="X8" s="78">
        <v>5.36</v>
      </c>
      <c r="Y8" s="78">
        <v>37.630000000000003</v>
      </c>
      <c r="Z8" s="78">
        <v>64.349999999999994</v>
      </c>
      <c r="AA8" s="78">
        <v>327.91</v>
      </c>
      <c r="AB8" s="78">
        <v>10.88</v>
      </c>
      <c r="AC8" s="78">
        <v>286.83999999999997</v>
      </c>
      <c r="AD8" s="78"/>
      <c r="AE8" s="78"/>
      <c r="AF8" s="79">
        <f>'[2]3rd Citrus 2013-14'!J8</f>
        <v>11.81</v>
      </c>
      <c r="AG8" s="79">
        <f>'[2]3rd Citrus 2013-14'!K8</f>
        <v>80.62</v>
      </c>
      <c r="AH8" s="78"/>
      <c r="AI8" s="78"/>
      <c r="AJ8" s="78">
        <v>1</v>
      </c>
      <c r="AK8" s="78">
        <v>4.74</v>
      </c>
      <c r="AL8" s="78"/>
      <c r="AM8" s="78"/>
      <c r="AN8" s="78"/>
      <c r="AO8" s="78"/>
      <c r="AP8" s="78"/>
      <c r="AQ8" s="78"/>
      <c r="AR8" s="78">
        <v>0.14000000000000001</v>
      </c>
      <c r="AS8" s="78">
        <v>0.51</v>
      </c>
      <c r="AT8" s="78">
        <v>0.19</v>
      </c>
      <c r="AU8" s="78">
        <v>0.99</v>
      </c>
      <c r="AV8" s="78"/>
      <c r="AW8" s="78"/>
      <c r="AX8" s="78"/>
      <c r="AY8" s="78"/>
      <c r="AZ8" s="78">
        <v>55.72</v>
      </c>
      <c r="BA8" s="78">
        <v>220.16</v>
      </c>
      <c r="BB8" s="79">
        <f t="shared" si="0"/>
        <v>212.87999999999997</v>
      </c>
      <c r="BC8" s="79">
        <f t="shared" si="0"/>
        <v>1930.1799999999998</v>
      </c>
    </row>
    <row r="9" spans="1:55" ht="26.25" customHeight="1" x14ac:dyDescent="0.25">
      <c r="A9" s="77" t="s">
        <v>16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9">
        <f>'[2]3rd Citrus 2013-14'!J9</f>
        <v>0</v>
      </c>
      <c r="AG9" s="79">
        <f>'[2]3rd Citrus 2013-14'!K9</f>
        <v>0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9">
        <f t="shared" si="0"/>
        <v>0</v>
      </c>
      <c r="BC9" s="79">
        <f t="shared" si="0"/>
        <v>0</v>
      </c>
    </row>
    <row r="10" spans="1:55" ht="26.25" customHeight="1" x14ac:dyDescent="0.25">
      <c r="A10" s="77" t="s">
        <v>17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9">
        <f>'[2]3rd Citrus 2013-14'!J10</f>
        <v>0</v>
      </c>
      <c r="AG10" s="79">
        <f>'[2]3rd Citrus 2013-14'!K10</f>
        <v>0</v>
      </c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>
        <f t="shared" si="0"/>
        <v>0</v>
      </c>
      <c r="BC10" s="79">
        <f t="shared" si="0"/>
        <v>0</v>
      </c>
    </row>
    <row r="11" spans="1:55" ht="26.25" customHeight="1" x14ac:dyDescent="0.25">
      <c r="A11" s="77" t="s">
        <v>18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>
        <f>'[2]3rd Citrus 2013-14'!J11</f>
        <v>0</v>
      </c>
      <c r="AG11" s="79">
        <f>'[2]3rd Citrus 2013-14'!K11</f>
        <v>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9">
        <f t="shared" si="0"/>
        <v>0</v>
      </c>
      <c r="BC11" s="79">
        <f t="shared" si="0"/>
        <v>0</v>
      </c>
    </row>
    <row r="12" spans="1:55" ht="26.25" customHeight="1" x14ac:dyDescent="0.25">
      <c r="A12" s="77" t="s">
        <v>19</v>
      </c>
      <c r="B12" s="78"/>
      <c r="C12" s="78"/>
      <c r="D12" s="78"/>
      <c r="E12" s="78"/>
      <c r="F12" s="78"/>
      <c r="G12" s="78"/>
      <c r="H12" s="78"/>
      <c r="I12" s="78"/>
      <c r="J12" s="78">
        <v>2.3239999999999998</v>
      </c>
      <c r="K12" s="78">
        <v>26.308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>
        <v>4.819</v>
      </c>
      <c r="AA12" s="78">
        <v>8.9440000000000008</v>
      </c>
      <c r="AB12" s="78"/>
      <c r="AC12" s="78"/>
      <c r="AD12" s="78"/>
      <c r="AE12" s="78"/>
      <c r="AF12" s="79">
        <f>'[2]3rd Citrus 2013-14'!J12</f>
        <v>0</v>
      </c>
      <c r="AG12" s="79">
        <f>'[2]3rd Citrus 2013-14'!K12</f>
        <v>0</v>
      </c>
      <c r="AH12" s="78"/>
      <c r="AI12" s="78"/>
      <c r="AJ12" s="78"/>
      <c r="AK12" s="78"/>
      <c r="AL12" s="78"/>
      <c r="AM12" s="78"/>
      <c r="AN12" s="78">
        <v>0.29499999999999998</v>
      </c>
      <c r="AO12" s="78">
        <v>4.9000000000000004</v>
      </c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>
        <v>3.839</v>
      </c>
      <c r="BA12" s="78">
        <v>41.039000000000001</v>
      </c>
      <c r="BB12" s="79">
        <f t="shared" si="0"/>
        <v>11.276999999999999</v>
      </c>
      <c r="BC12" s="79">
        <f t="shared" si="0"/>
        <v>81.191000000000003</v>
      </c>
    </row>
    <row r="13" spans="1:55" ht="26.25" customHeight="1" x14ac:dyDescent="0.25">
      <c r="A13" s="77" t="s">
        <v>20</v>
      </c>
      <c r="B13" s="78"/>
      <c r="C13" s="78"/>
      <c r="D13" s="78">
        <v>11.76</v>
      </c>
      <c r="E13" s="78">
        <v>112.9</v>
      </c>
      <c r="F13" s="78"/>
      <c r="G13" s="78"/>
      <c r="H13" s="78"/>
      <c r="I13" s="78"/>
      <c r="J13" s="78">
        <v>70.58</v>
      </c>
      <c r="K13" s="78">
        <v>4523.49</v>
      </c>
      <c r="L13" s="78">
        <v>12.16</v>
      </c>
      <c r="M13" s="78">
        <v>128.63</v>
      </c>
      <c r="N13" s="78">
        <v>5.13</v>
      </c>
      <c r="O13" s="78">
        <v>56.24</v>
      </c>
      <c r="P13" s="78"/>
      <c r="Q13" s="78"/>
      <c r="R13" s="78">
        <v>10.61</v>
      </c>
      <c r="S13" s="78">
        <v>158.05000000000001</v>
      </c>
      <c r="T13" s="78"/>
      <c r="U13" s="78"/>
      <c r="V13" s="78"/>
      <c r="W13" s="78"/>
      <c r="X13" s="78"/>
      <c r="Y13" s="78"/>
      <c r="Z13" s="78">
        <v>141.26</v>
      </c>
      <c r="AA13" s="78">
        <v>1003.71</v>
      </c>
      <c r="AB13" s="78">
        <v>19.54</v>
      </c>
      <c r="AC13" s="78">
        <v>1189.31</v>
      </c>
      <c r="AD13" s="78"/>
      <c r="AE13" s="78"/>
      <c r="AF13" s="79">
        <f>'[2]3rd Citrus 2013-14'!J13</f>
        <v>40.799999999999997</v>
      </c>
      <c r="AG13" s="79">
        <f>'[2]3rd Citrus 2013-14'!K13</f>
        <v>433.12</v>
      </c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>
        <v>7.4</v>
      </c>
      <c r="AS13" s="78">
        <v>79.02</v>
      </c>
      <c r="AT13" s="78">
        <v>28.8</v>
      </c>
      <c r="AU13" s="78">
        <v>309.89999999999998</v>
      </c>
      <c r="AV13" s="78"/>
      <c r="AW13" s="78"/>
      <c r="AX13" s="78"/>
      <c r="AY13" s="78"/>
      <c r="AZ13" s="78">
        <v>33.46</v>
      </c>
      <c r="BA13" s="78">
        <v>418.8</v>
      </c>
      <c r="BB13" s="79">
        <f t="shared" si="0"/>
        <v>381.5</v>
      </c>
      <c r="BC13" s="79">
        <f t="shared" si="0"/>
        <v>8413.17</v>
      </c>
    </row>
    <row r="14" spans="1:55" ht="26.25" customHeight="1" x14ac:dyDescent="0.25">
      <c r="A14" s="77" t="s">
        <v>21</v>
      </c>
      <c r="B14" s="78"/>
      <c r="C14" s="78"/>
      <c r="D14" s="78">
        <v>1.86</v>
      </c>
      <c r="E14" s="78">
        <v>10.15</v>
      </c>
      <c r="F14" s="78"/>
      <c r="G14" s="78"/>
      <c r="H14" s="78"/>
      <c r="I14" s="78"/>
      <c r="J14" s="78"/>
      <c r="K14" s="78"/>
      <c r="L14" s="78">
        <v>4.22</v>
      </c>
      <c r="M14" s="78">
        <v>41.84</v>
      </c>
      <c r="N14" s="78"/>
      <c r="O14" s="78"/>
      <c r="P14" s="78">
        <v>0.04</v>
      </c>
      <c r="Q14" s="78">
        <v>0.45</v>
      </c>
      <c r="R14" s="78">
        <v>10.64</v>
      </c>
      <c r="S14" s="78">
        <v>127.99</v>
      </c>
      <c r="T14" s="78"/>
      <c r="U14" s="78"/>
      <c r="V14" s="78"/>
      <c r="W14" s="78"/>
      <c r="X14" s="78">
        <v>0.2</v>
      </c>
      <c r="Y14" s="78">
        <v>4.37</v>
      </c>
      <c r="Z14" s="78">
        <v>9.15</v>
      </c>
      <c r="AA14" s="78">
        <v>86.62</v>
      </c>
      <c r="AB14" s="78"/>
      <c r="AC14" s="78"/>
      <c r="AD14" s="78"/>
      <c r="AE14" s="78"/>
      <c r="AF14" s="79">
        <f>'[2]3rd Citrus 2013-14'!J14</f>
        <v>19.399999999999999</v>
      </c>
      <c r="AG14" s="79">
        <f>'[2]3rd Citrus 2013-14'!K14</f>
        <v>231.42</v>
      </c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>
        <v>1.57</v>
      </c>
      <c r="AU14" s="78">
        <v>9.8699999999999992</v>
      </c>
      <c r="AV14" s="78"/>
      <c r="AW14" s="78"/>
      <c r="AX14" s="78"/>
      <c r="AY14" s="78"/>
      <c r="AZ14" s="78">
        <f>0.59+2.86</f>
        <v>3.4499999999999997</v>
      </c>
      <c r="BA14" s="78">
        <f>11.31+28.45</f>
        <v>39.76</v>
      </c>
      <c r="BB14" s="79">
        <f t="shared" si="0"/>
        <v>50.53</v>
      </c>
      <c r="BC14" s="79">
        <f t="shared" si="0"/>
        <v>552.47</v>
      </c>
    </row>
    <row r="15" spans="1:55" ht="26.25" customHeight="1" x14ac:dyDescent="0.25">
      <c r="A15" s="77" t="s">
        <v>22</v>
      </c>
      <c r="B15" s="78">
        <v>5.4649999999999999</v>
      </c>
      <c r="C15" s="78">
        <v>0.92900000000000005</v>
      </c>
      <c r="D15" s="78">
        <v>2.153</v>
      </c>
      <c r="E15" s="78">
        <v>1.782</v>
      </c>
      <c r="F15" s="78">
        <v>106.23099999999999</v>
      </c>
      <c r="G15" s="78">
        <v>738.72299999999996</v>
      </c>
      <c r="H15" s="78">
        <v>0</v>
      </c>
      <c r="I15" s="78">
        <v>4.1000000000000002E-2</v>
      </c>
      <c r="J15" s="78">
        <v>9.2999999999999999E-2</v>
      </c>
      <c r="K15" s="78">
        <v>0.29299999999999998</v>
      </c>
      <c r="L15" s="78">
        <v>3.5999999999999997E-2</v>
      </c>
      <c r="M15" s="78">
        <v>8.9999999999999993E-3</v>
      </c>
      <c r="N15" s="78"/>
      <c r="O15" s="78"/>
      <c r="P15" s="78">
        <v>0.107</v>
      </c>
      <c r="Q15" s="78">
        <v>0.128</v>
      </c>
      <c r="R15" s="78">
        <v>2.2229999999999999</v>
      </c>
      <c r="S15" s="78">
        <v>2.5019999999999998</v>
      </c>
      <c r="T15" s="78">
        <v>0.65500000000000003</v>
      </c>
      <c r="U15" s="78">
        <v>0.44800000000000001</v>
      </c>
      <c r="V15" s="78">
        <v>0.115</v>
      </c>
      <c r="W15" s="78">
        <v>0.114</v>
      </c>
      <c r="X15" s="78">
        <v>4.7430000000000003</v>
      </c>
      <c r="Y15" s="78">
        <v>3.2749999999999999</v>
      </c>
      <c r="Z15" s="78">
        <v>39.811999999999998</v>
      </c>
      <c r="AA15" s="78">
        <v>25.408000000000001</v>
      </c>
      <c r="AB15" s="78">
        <v>0.215</v>
      </c>
      <c r="AC15" s="78">
        <v>1.28</v>
      </c>
      <c r="AD15" s="78"/>
      <c r="AE15" s="78"/>
      <c r="AF15" s="79">
        <f>'[2]3rd Citrus 2013-14'!J15</f>
        <v>22.803999999999998</v>
      </c>
      <c r="AG15" s="79">
        <f>'[2]3rd Citrus 2013-14'!K15</f>
        <v>22.273</v>
      </c>
      <c r="AH15" s="78">
        <v>5.1509999999999998</v>
      </c>
      <c r="AI15" s="78">
        <v>6.2709999999999999</v>
      </c>
      <c r="AJ15" s="78">
        <v>7.2770000000000001</v>
      </c>
      <c r="AK15" s="78">
        <v>35.213999999999999</v>
      </c>
      <c r="AL15" s="78">
        <v>0</v>
      </c>
      <c r="AM15" s="78">
        <v>0.159</v>
      </c>
      <c r="AN15" s="78"/>
      <c r="AO15" s="78"/>
      <c r="AP15" s="78">
        <v>8.5359999999999996</v>
      </c>
      <c r="AQ15" s="78">
        <v>15.991</v>
      </c>
      <c r="AR15" s="78">
        <v>1.9750000000000001</v>
      </c>
      <c r="AS15" s="78">
        <v>2.5390000000000001</v>
      </c>
      <c r="AT15" s="78">
        <v>5.1999999999999998E-2</v>
      </c>
      <c r="AU15" s="78">
        <v>1.2999999999999999E-2</v>
      </c>
      <c r="AV15" s="78">
        <v>5.5E-2</v>
      </c>
      <c r="AW15" s="78">
        <v>0.48</v>
      </c>
      <c r="AX15" s="78">
        <v>4.5579999999999998</v>
      </c>
      <c r="AY15" s="78">
        <v>2.39</v>
      </c>
      <c r="AZ15" s="78">
        <f>2.192+3.582</f>
        <v>5.774</v>
      </c>
      <c r="BA15" s="78">
        <f>3.165+2.917</f>
        <v>6.0819999999999999</v>
      </c>
      <c r="BB15" s="79">
        <f t="shared" si="0"/>
        <v>218.02999999999997</v>
      </c>
      <c r="BC15" s="79">
        <f t="shared" si="0"/>
        <v>866.34400000000005</v>
      </c>
    </row>
    <row r="16" spans="1:55" ht="26.25" customHeight="1" x14ac:dyDescent="0.25">
      <c r="A16" s="77" t="s">
        <v>23</v>
      </c>
      <c r="B16" s="75">
        <v>15.981999999999999</v>
      </c>
      <c r="C16" s="75">
        <v>11.815</v>
      </c>
      <c r="D16" s="75">
        <v>1.6319999999999999</v>
      </c>
      <c r="E16" s="75">
        <v>1.4970000000000001</v>
      </c>
      <c r="F16" s="78">
        <v>160.86500000000001</v>
      </c>
      <c r="G16" s="78">
        <v>1647.6869999999999</v>
      </c>
      <c r="H16" s="78"/>
      <c r="I16" s="78"/>
      <c r="J16" s="78"/>
      <c r="K16" s="78"/>
      <c r="L16" s="78">
        <v>7.9130000000000003</v>
      </c>
      <c r="M16" s="78">
        <v>13.43</v>
      </c>
      <c r="N16" s="78"/>
      <c r="O16" s="78"/>
      <c r="P16" s="78">
        <v>0.42699999999999999</v>
      </c>
      <c r="Q16" s="78">
        <v>0.47199999999999998</v>
      </c>
      <c r="R16" s="78">
        <v>2.4390000000000001</v>
      </c>
      <c r="S16" s="78">
        <v>5.7830000000000004</v>
      </c>
      <c r="T16" s="78"/>
      <c r="U16" s="78"/>
      <c r="V16" s="78">
        <v>2E-3</v>
      </c>
      <c r="W16" s="78">
        <v>1.0999999999999999E-2</v>
      </c>
      <c r="X16" s="78">
        <v>0.99399999999999999</v>
      </c>
      <c r="Y16" s="78">
        <v>6.5000000000000002E-2</v>
      </c>
      <c r="Z16" s="78">
        <v>12.912000000000001</v>
      </c>
      <c r="AA16" s="78">
        <v>6.9939999999999998</v>
      </c>
      <c r="AB16" s="78"/>
      <c r="AC16" s="78"/>
      <c r="AD16" s="78"/>
      <c r="AE16" s="78"/>
      <c r="AF16" s="79">
        <f>'[2]3rd Citrus 2013-14'!J16</f>
        <v>14.215999999999999</v>
      </c>
      <c r="AG16" s="79">
        <f>'[2]3rd Citrus 2013-14'!K16</f>
        <v>22.57</v>
      </c>
      <c r="AH16" s="78">
        <v>2.5470000000000002</v>
      </c>
      <c r="AI16" s="78">
        <v>7.5119999999999996</v>
      </c>
      <c r="AJ16" s="78">
        <v>14.804</v>
      </c>
      <c r="AK16" s="78">
        <v>73.515000000000001</v>
      </c>
      <c r="AL16" s="78">
        <v>0.61899999999999999</v>
      </c>
      <c r="AM16" s="78">
        <v>1.2E-2</v>
      </c>
      <c r="AN16" s="78"/>
      <c r="AO16" s="78"/>
      <c r="AP16" s="78">
        <v>4.7610000000000001</v>
      </c>
      <c r="AQ16" s="78">
        <v>10.81</v>
      </c>
      <c r="AR16" s="78">
        <v>0.111</v>
      </c>
      <c r="AS16" s="78">
        <v>0.34100000000000003</v>
      </c>
      <c r="AT16" s="78"/>
      <c r="AU16" s="78"/>
      <c r="AV16" s="78">
        <v>0.51</v>
      </c>
      <c r="AW16" s="78">
        <v>0.371</v>
      </c>
      <c r="AX16" s="78">
        <v>95.600999999999999</v>
      </c>
      <c r="AY16" s="78">
        <v>220.59</v>
      </c>
      <c r="AZ16" s="78">
        <f>6.44+3.942+0.557+0.18+7.884+0.196</f>
        <v>19.199000000000002</v>
      </c>
      <c r="BA16" s="78">
        <f>17.142+13.458+0.045+0.951+17.275+0.331</f>
        <v>49.202000000000005</v>
      </c>
      <c r="BB16" s="79">
        <f t="shared" si="0"/>
        <v>355.53400000000005</v>
      </c>
      <c r="BC16" s="79">
        <f t="shared" si="0"/>
        <v>2072.6769999999997</v>
      </c>
    </row>
    <row r="17" spans="1:55" ht="26.25" customHeight="1" x14ac:dyDescent="0.25">
      <c r="A17" s="77" t="s">
        <v>24</v>
      </c>
      <c r="B17" s="78"/>
      <c r="C17" s="78"/>
      <c r="D17" s="78">
        <v>7.7969999999999997</v>
      </c>
      <c r="E17" s="78">
        <v>33.74</v>
      </c>
      <c r="F17" s="78"/>
      <c r="G17" s="78"/>
      <c r="H17" s="78">
        <v>0.73</v>
      </c>
      <c r="I17" s="78">
        <v>1.79</v>
      </c>
      <c r="J17" s="78">
        <v>0.54</v>
      </c>
      <c r="K17" s="78">
        <v>1.29</v>
      </c>
      <c r="L17" s="78">
        <v>1.1299999999999999</v>
      </c>
      <c r="M17" s="78">
        <v>1.25</v>
      </c>
      <c r="N17" s="78"/>
      <c r="O17" s="78"/>
      <c r="P17" s="78"/>
      <c r="Q17" s="78"/>
      <c r="R17" s="78">
        <v>8.67</v>
      </c>
      <c r="S17" s="78">
        <v>95.39</v>
      </c>
      <c r="T17" s="78">
        <v>2.12</v>
      </c>
      <c r="U17" s="78">
        <v>20.149999999999999</v>
      </c>
      <c r="V17" s="78"/>
      <c r="W17" s="78"/>
      <c r="X17" s="78">
        <v>5.274</v>
      </c>
      <c r="Y17" s="78">
        <v>58.235999999999997</v>
      </c>
      <c r="Z17" s="78">
        <v>51.328000000000003</v>
      </c>
      <c r="AA17" s="78">
        <v>517.91999999999996</v>
      </c>
      <c r="AB17" s="78">
        <v>0.51200000000000001</v>
      </c>
      <c r="AC17" s="78">
        <v>5.13</v>
      </c>
      <c r="AD17" s="78"/>
      <c r="AE17" s="78"/>
      <c r="AF17" s="79">
        <f>'[2]3rd Citrus 2013-14'!J17</f>
        <v>8.82</v>
      </c>
      <c r="AG17" s="79">
        <f>'[2]3rd Citrus 2013-14'!K17</f>
        <v>87.668999999999997</v>
      </c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>
        <v>0.52</v>
      </c>
      <c r="AS17" s="78">
        <v>2.21</v>
      </c>
      <c r="AT17" s="78"/>
      <c r="AU17" s="78"/>
      <c r="AV17" s="78"/>
      <c r="AW17" s="78"/>
      <c r="AX17" s="78"/>
      <c r="AY17" s="78"/>
      <c r="AZ17" s="78">
        <v>5.7290000000000001</v>
      </c>
      <c r="BA17" s="78">
        <v>65.260000000000005</v>
      </c>
      <c r="BB17" s="79">
        <f t="shared" si="0"/>
        <v>93.169999999999987</v>
      </c>
      <c r="BC17" s="79">
        <f t="shared" si="0"/>
        <v>890.03499999999997</v>
      </c>
    </row>
    <row r="18" spans="1:55" ht="26.25" customHeight="1" x14ac:dyDescent="0.25">
      <c r="A18" s="77" t="s">
        <v>25</v>
      </c>
      <c r="B18" s="78"/>
      <c r="C18" s="78"/>
      <c r="D18" s="78">
        <v>0.2</v>
      </c>
      <c r="E18" s="78">
        <v>0.9</v>
      </c>
      <c r="F18" s="78"/>
      <c r="G18" s="78"/>
      <c r="H18" s="78"/>
      <c r="I18" s="78"/>
      <c r="J18" s="78">
        <v>102.7</v>
      </c>
      <c r="K18" s="78">
        <v>2675.6</v>
      </c>
      <c r="L18" s="78">
        <v>0.7</v>
      </c>
      <c r="M18" s="78">
        <v>19</v>
      </c>
      <c r="N18" s="78">
        <v>1.5</v>
      </c>
      <c r="O18" s="78">
        <v>12.2</v>
      </c>
      <c r="P18" s="78">
        <v>20.5</v>
      </c>
      <c r="Q18" s="78">
        <v>302.39999999999998</v>
      </c>
      <c r="R18" s="78">
        <v>6.4</v>
      </c>
      <c r="S18" s="78">
        <v>143.4</v>
      </c>
      <c r="T18" s="78">
        <v>5.5</v>
      </c>
      <c r="U18" s="78">
        <v>195.6</v>
      </c>
      <c r="V18" s="78"/>
      <c r="W18" s="78"/>
      <c r="X18" s="78"/>
      <c r="Y18" s="78"/>
      <c r="Z18" s="78">
        <v>180.5</v>
      </c>
      <c r="AA18" s="78">
        <v>1755.6</v>
      </c>
      <c r="AB18" s="78">
        <v>6.8</v>
      </c>
      <c r="AC18" s="78">
        <v>475.7</v>
      </c>
      <c r="AD18" s="78"/>
      <c r="AE18" s="78"/>
      <c r="AF18" s="79">
        <f>'[2]3rd Citrus 2013-14'!J18</f>
        <v>17.3</v>
      </c>
      <c r="AG18" s="79">
        <f>'[2]3rd Citrus 2013-14'!K18</f>
        <v>379.20000000000005</v>
      </c>
      <c r="AH18" s="78"/>
      <c r="AI18" s="78"/>
      <c r="AJ18" s="78"/>
      <c r="AK18" s="78"/>
      <c r="AL18" s="78"/>
      <c r="AM18" s="78"/>
      <c r="AN18" s="78">
        <v>2.7</v>
      </c>
      <c r="AO18" s="78">
        <v>160.30000000000001</v>
      </c>
      <c r="AP18" s="78"/>
      <c r="AQ18" s="78"/>
      <c r="AR18" s="78">
        <v>16.600000000000001</v>
      </c>
      <c r="AS18" s="78">
        <v>134.19999999999999</v>
      </c>
      <c r="AT18" s="78">
        <v>31.2</v>
      </c>
      <c r="AU18" s="78">
        <v>365.6</v>
      </c>
      <c r="AV18" s="78"/>
      <c r="AW18" s="78"/>
      <c r="AX18" s="78"/>
      <c r="AY18" s="78"/>
      <c r="AZ18" s="78">
        <v>3.4</v>
      </c>
      <c r="BA18" s="78">
        <v>31.9</v>
      </c>
      <c r="BB18" s="79">
        <f t="shared" si="0"/>
        <v>396</v>
      </c>
      <c r="BC18" s="79">
        <f t="shared" si="0"/>
        <v>6651.5999999999995</v>
      </c>
    </row>
    <row r="19" spans="1:55" ht="26.25" customHeight="1" x14ac:dyDescent="0.25">
      <c r="A19" s="77" t="s">
        <v>26</v>
      </c>
      <c r="B19" s="78"/>
      <c r="C19" s="78"/>
      <c r="D19" s="78"/>
      <c r="E19" s="78"/>
      <c r="F19" s="78"/>
      <c r="G19" s="78"/>
      <c r="H19" s="78"/>
      <c r="I19" s="78"/>
      <c r="J19" s="78">
        <v>61.011000000000003</v>
      </c>
      <c r="K19" s="78">
        <v>515.697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>
        <v>74.441999999999993</v>
      </c>
      <c r="AA19" s="78">
        <v>441.03300000000002</v>
      </c>
      <c r="AB19" s="78">
        <v>16.463999999999999</v>
      </c>
      <c r="AC19" s="78">
        <v>96.924999999999997</v>
      </c>
      <c r="AD19" s="78"/>
      <c r="AE19" s="78"/>
      <c r="AF19" s="79">
        <f>'[2]3rd Citrus 2013-14'!J19</f>
        <v>0</v>
      </c>
      <c r="AG19" s="79">
        <f>'[2]3rd Citrus 2013-14'!K19</f>
        <v>0</v>
      </c>
      <c r="AH19" s="78"/>
      <c r="AI19" s="78"/>
      <c r="AJ19" s="78"/>
      <c r="AK19" s="78"/>
      <c r="AL19" s="78"/>
      <c r="AM19" s="78"/>
      <c r="AN19" s="78">
        <v>8.5399999999999991</v>
      </c>
      <c r="AO19" s="78">
        <v>72.856999999999999</v>
      </c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>
        <v>154.1</v>
      </c>
      <c r="BA19" s="78">
        <v>1457.5</v>
      </c>
      <c r="BB19" s="79">
        <f t="shared" si="0"/>
        <v>314.55700000000002</v>
      </c>
      <c r="BC19" s="79">
        <f t="shared" si="0"/>
        <v>2584.0119999999997</v>
      </c>
    </row>
    <row r="20" spans="1:55" ht="26.25" customHeight="1" x14ac:dyDescent="0.25">
      <c r="A20" s="77" t="s">
        <v>56</v>
      </c>
      <c r="B20" s="78"/>
      <c r="C20" s="78"/>
      <c r="D20" s="78"/>
      <c r="E20" s="78"/>
      <c r="F20" s="78"/>
      <c r="G20" s="78"/>
      <c r="H20" s="78"/>
      <c r="I20" s="78"/>
      <c r="J20" s="78">
        <v>0.13</v>
      </c>
      <c r="K20" s="78">
        <v>0.3</v>
      </c>
      <c r="L20" s="78"/>
      <c r="M20" s="78"/>
      <c r="N20" s="78"/>
      <c r="O20" s="78"/>
      <c r="P20" s="78"/>
      <c r="Q20" s="78"/>
      <c r="R20" s="78">
        <v>1.2E-2</v>
      </c>
      <c r="S20" s="78">
        <v>2.3900000000000001E-2</v>
      </c>
      <c r="T20" s="78"/>
      <c r="U20" s="78"/>
      <c r="V20" s="78"/>
      <c r="W20" s="78"/>
      <c r="X20" s="78"/>
      <c r="Y20" s="78"/>
      <c r="Z20" s="78"/>
      <c r="AA20" s="78"/>
      <c r="AB20" s="78">
        <v>2.5000000000000001E-2</v>
      </c>
      <c r="AC20" s="78">
        <v>0.06</v>
      </c>
      <c r="AD20" s="78"/>
      <c r="AE20" s="78"/>
      <c r="AF20" s="79">
        <f>'[2]3rd Citrus 2013-14'!J20</f>
        <v>0</v>
      </c>
      <c r="AG20" s="79">
        <f>'[2]3rd Citrus 2013-14'!K20</f>
        <v>0</v>
      </c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>
        <v>5.0000000000000001E-3</v>
      </c>
      <c r="AS20" s="78">
        <v>4.5500000000000002E-3</v>
      </c>
      <c r="AT20" s="78">
        <v>0.01</v>
      </c>
      <c r="AU20" s="78">
        <v>0.03</v>
      </c>
      <c r="AV20" s="78"/>
      <c r="AW20" s="78"/>
      <c r="AX20" s="78"/>
      <c r="AY20" s="78"/>
      <c r="AZ20" s="78">
        <v>0.04</v>
      </c>
      <c r="BA20" s="78">
        <v>6.5000000000000002E-2</v>
      </c>
      <c r="BB20" s="79">
        <f t="shared" si="0"/>
        <v>0.22200000000000003</v>
      </c>
      <c r="BC20" s="79">
        <f t="shared" si="0"/>
        <v>0.48344999999999999</v>
      </c>
    </row>
    <row r="21" spans="1:55" ht="26.25" customHeight="1" x14ac:dyDescent="0.25">
      <c r="A21" s="77" t="s">
        <v>27</v>
      </c>
      <c r="B21" s="78"/>
      <c r="C21" s="78"/>
      <c r="D21" s="78">
        <v>13.7</v>
      </c>
      <c r="E21" s="78">
        <v>367</v>
      </c>
      <c r="F21" s="78"/>
      <c r="G21" s="78"/>
      <c r="H21" s="78"/>
      <c r="I21" s="78"/>
      <c r="J21" s="78">
        <v>26.271999999999998</v>
      </c>
      <c r="K21" s="78">
        <v>1735</v>
      </c>
      <c r="L21" s="78">
        <v>4.1470000000000002</v>
      </c>
      <c r="M21" s="78">
        <v>44</v>
      </c>
      <c r="N21" s="78">
        <v>2.681</v>
      </c>
      <c r="O21" s="78">
        <v>34</v>
      </c>
      <c r="P21" s="78">
        <v>0.15</v>
      </c>
      <c r="Q21" s="78">
        <v>2</v>
      </c>
      <c r="R21" s="78">
        <v>22.346</v>
      </c>
      <c r="S21" s="78">
        <v>841.1</v>
      </c>
      <c r="T21" s="78">
        <v>2.7930000000000001</v>
      </c>
      <c r="U21" s="78">
        <v>160</v>
      </c>
      <c r="V21" s="78"/>
      <c r="W21" s="78"/>
      <c r="X21" s="78"/>
      <c r="Y21" s="78"/>
      <c r="Z21" s="78">
        <v>25.434999999999999</v>
      </c>
      <c r="AA21" s="78">
        <v>379.8</v>
      </c>
      <c r="AB21" s="78">
        <v>13.163</v>
      </c>
      <c r="AC21" s="78">
        <v>433.7</v>
      </c>
      <c r="AD21" s="78"/>
      <c r="AE21" s="78"/>
      <c r="AF21" s="79">
        <f>'[2]3rd Citrus 2013-14'!J21</f>
        <v>71.808000000000007</v>
      </c>
      <c r="AG21" s="79">
        <f>'[2]3rd Citrus 2013-14'!K21</f>
        <v>1241</v>
      </c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>
        <v>2.3769999999999998</v>
      </c>
      <c r="AS21" s="78">
        <v>25.3</v>
      </c>
      <c r="AT21" s="78"/>
      <c r="AU21" s="78"/>
      <c r="AV21" s="78"/>
      <c r="AW21" s="78"/>
      <c r="AX21" s="78"/>
      <c r="AY21" s="78"/>
      <c r="AZ21" s="78">
        <v>18.917000000000002</v>
      </c>
      <c r="BA21" s="78">
        <v>429</v>
      </c>
      <c r="BB21" s="79">
        <f t="shared" si="0"/>
        <v>203.78900000000002</v>
      </c>
      <c r="BC21" s="79">
        <f t="shared" si="0"/>
        <v>5691.9000000000005</v>
      </c>
    </row>
    <row r="22" spans="1:55" ht="26.25" customHeight="1" x14ac:dyDescent="0.25">
      <c r="A22" s="77" t="s">
        <v>28</v>
      </c>
      <c r="B22" s="78"/>
      <c r="C22" s="78"/>
      <c r="D22" s="78"/>
      <c r="E22" s="78"/>
      <c r="F22" s="78"/>
      <c r="G22" s="78"/>
      <c r="H22" s="78"/>
      <c r="I22" s="78"/>
      <c r="J22" s="78">
        <v>83</v>
      </c>
      <c r="K22" s="78">
        <v>4150</v>
      </c>
      <c r="L22" s="78"/>
      <c r="M22" s="78"/>
      <c r="N22" s="78"/>
      <c r="O22" s="78"/>
      <c r="P22" s="78">
        <v>90</v>
      </c>
      <c r="Q22" s="78">
        <v>2100</v>
      </c>
      <c r="R22" s="78">
        <v>40</v>
      </c>
      <c r="S22" s="78">
        <v>316</v>
      </c>
      <c r="T22" s="78"/>
      <c r="U22" s="78"/>
      <c r="V22" s="78"/>
      <c r="W22" s="78"/>
      <c r="X22" s="78"/>
      <c r="Y22" s="78"/>
      <c r="Z22" s="78">
        <v>485</v>
      </c>
      <c r="AA22" s="78">
        <v>640</v>
      </c>
      <c r="AB22" s="78">
        <v>11</v>
      </c>
      <c r="AC22" s="78">
        <v>420</v>
      </c>
      <c r="AD22" s="78"/>
      <c r="AE22" s="78"/>
      <c r="AF22" s="79">
        <f>'[2]3rd Citrus 2013-14'!J22</f>
        <v>275</v>
      </c>
      <c r="AG22" s="79">
        <f>'[2]3rd Citrus 2013-14'!K22</f>
        <v>1148</v>
      </c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>
        <v>90</v>
      </c>
      <c r="AS22" s="78">
        <v>738</v>
      </c>
      <c r="AT22" s="78">
        <v>73</v>
      </c>
      <c r="AU22" s="78">
        <v>370</v>
      </c>
      <c r="AV22" s="78"/>
      <c r="AW22" s="78"/>
      <c r="AX22" s="78"/>
      <c r="AY22" s="78"/>
      <c r="AZ22" s="78">
        <v>418</v>
      </c>
      <c r="BA22" s="78">
        <v>1250</v>
      </c>
      <c r="BB22" s="79">
        <f t="shared" si="0"/>
        <v>1565</v>
      </c>
      <c r="BC22" s="79">
        <f t="shared" si="0"/>
        <v>11132</v>
      </c>
    </row>
    <row r="23" spans="1:55" ht="26.25" customHeight="1" x14ac:dyDescent="0.25">
      <c r="A23" s="81" t="s">
        <v>29</v>
      </c>
      <c r="B23" s="78"/>
      <c r="C23" s="78"/>
      <c r="D23" s="78"/>
      <c r="E23" s="78"/>
      <c r="F23" s="78"/>
      <c r="G23" s="78"/>
      <c r="H23" s="78"/>
      <c r="I23" s="78"/>
      <c r="J23" s="78">
        <v>6.7</v>
      </c>
      <c r="K23" s="78">
        <v>90.45</v>
      </c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>
        <v>9.15</v>
      </c>
      <c r="AE23" s="78">
        <v>100.58</v>
      </c>
      <c r="AF23" s="79">
        <f>'[2]3rd Citrus 2013-14'!J23</f>
        <v>11</v>
      </c>
      <c r="AG23" s="79">
        <f>'[2]3rd Citrus 2013-14'!K23</f>
        <v>93.85</v>
      </c>
      <c r="AH23" s="78"/>
      <c r="AI23" s="78"/>
      <c r="AJ23" s="78"/>
      <c r="AK23" s="78"/>
      <c r="AL23" s="78"/>
      <c r="AM23" s="78"/>
      <c r="AN23" s="78">
        <v>13.7</v>
      </c>
      <c r="AO23" s="78">
        <v>136.31</v>
      </c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>
        <v>13.5</v>
      </c>
      <c r="BA23" s="78">
        <v>94.5</v>
      </c>
      <c r="BB23" s="79">
        <f t="shared" si="0"/>
        <v>54.05</v>
      </c>
      <c r="BC23" s="79">
        <f t="shared" si="0"/>
        <v>515.69000000000005</v>
      </c>
    </row>
    <row r="24" spans="1:55" ht="26.25" customHeight="1" x14ac:dyDescent="0.25">
      <c r="A24" s="77" t="s">
        <v>30</v>
      </c>
      <c r="B24" s="78"/>
      <c r="C24" s="78"/>
      <c r="D24" s="78"/>
      <c r="E24" s="78"/>
      <c r="F24" s="78"/>
      <c r="G24" s="78"/>
      <c r="H24" s="78"/>
      <c r="I24" s="78"/>
      <c r="J24" s="78">
        <v>7.0389999999999997</v>
      </c>
      <c r="K24" s="78">
        <v>86.432000000000002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>
        <v>0.76300000000000001</v>
      </c>
      <c r="AC24" s="78">
        <v>5.9809999999999999</v>
      </c>
      <c r="AD24" s="78"/>
      <c r="AE24" s="78"/>
      <c r="AF24" s="79">
        <f>'[2]3rd Citrus 2013-14'!J24</f>
        <v>11.468</v>
      </c>
      <c r="AG24" s="79">
        <f>'[2]3rd Citrus 2013-14'!K24</f>
        <v>49.600000000000009</v>
      </c>
      <c r="AH24" s="78"/>
      <c r="AI24" s="78"/>
      <c r="AJ24" s="78"/>
      <c r="AK24" s="78"/>
      <c r="AL24" s="78"/>
      <c r="AM24" s="78"/>
      <c r="AN24" s="78">
        <v>11.314</v>
      </c>
      <c r="AO24" s="78">
        <v>117.767</v>
      </c>
      <c r="AP24" s="78"/>
      <c r="AQ24" s="78"/>
      <c r="AR24" s="78"/>
      <c r="AS24" s="78"/>
      <c r="AT24" s="78"/>
      <c r="AU24" s="78"/>
      <c r="AV24" s="78">
        <v>9.7000000000000003E-2</v>
      </c>
      <c r="AW24" s="78">
        <v>1.044</v>
      </c>
      <c r="AX24" s="78"/>
      <c r="AY24" s="78"/>
      <c r="AZ24" s="75">
        <f>3.459+1.157</f>
        <v>4.6159999999999997</v>
      </c>
      <c r="BA24" s="78">
        <f>78.132+9.346</f>
        <v>87.478000000000009</v>
      </c>
      <c r="BB24" s="79">
        <f t="shared" si="0"/>
        <v>35.296999999999997</v>
      </c>
      <c r="BC24" s="79">
        <f t="shared" si="0"/>
        <v>348.30199999999996</v>
      </c>
    </row>
    <row r="25" spans="1:55" ht="26.25" customHeight="1" x14ac:dyDescent="0.25">
      <c r="A25" s="77" t="s">
        <v>31</v>
      </c>
      <c r="B25" s="78"/>
      <c r="C25" s="78"/>
      <c r="D25" s="78">
        <v>0.27500000000000002</v>
      </c>
      <c r="E25" s="78">
        <v>1.21</v>
      </c>
      <c r="F25" s="78"/>
      <c r="G25" s="78"/>
      <c r="H25" s="78"/>
      <c r="I25" s="78"/>
      <c r="J25" s="78">
        <v>10.84</v>
      </c>
      <c r="K25" s="78">
        <v>140.91999999999999</v>
      </c>
      <c r="L25" s="78"/>
      <c r="M25" s="78"/>
      <c r="N25" s="82">
        <v>3.0000000000000001E-3</v>
      </c>
      <c r="O25" s="78">
        <v>0.02</v>
      </c>
      <c r="P25" s="78">
        <v>2.6819999999999999</v>
      </c>
      <c r="Q25" s="78">
        <v>23.87</v>
      </c>
      <c r="R25" s="78">
        <v>0.42</v>
      </c>
      <c r="S25" s="78">
        <v>2.62</v>
      </c>
      <c r="T25" s="78">
        <v>7.0000000000000007E-2</v>
      </c>
      <c r="U25" s="78">
        <v>2.9</v>
      </c>
      <c r="V25" s="78">
        <v>0.25</v>
      </c>
      <c r="W25" s="78">
        <v>0.875</v>
      </c>
      <c r="X25" s="78">
        <v>0.4</v>
      </c>
      <c r="Y25" s="78">
        <v>1.73</v>
      </c>
      <c r="Z25" s="78">
        <v>0.78</v>
      </c>
      <c r="AA25" s="78">
        <v>3.68</v>
      </c>
      <c r="AB25" s="78">
        <v>1.05</v>
      </c>
      <c r="AC25" s="78">
        <v>24.6</v>
      </c>
      <c r="AD25" s="78">
        <v>0.83799999999999997</v>
      </c>
      <c r="AE25" s="78">
        <v>1.94</v>
      </c>
      <c r="AF25" s="79">
        <f>'[2]3rd Citrus 2013-14'!J25</f>
        <v>25.227999999999998</v>
      </c>
      <c r="AG25" s="79">
        <f>'[2]3rd Citrus 2013-14'!K25</f>
        <v>77.694000000000003</v>
      </c>
      <c r="AH25" s="78">
        <v>7.4999999999999997E-2</v>
      </c>
      <c r="AI25" s="78">
        <v>0.57699999999999996</v>
      </c>
      <c r="AJ25" s="78"/>
      <c r="AK25" s="78"/>
      <c r="AL25" s="78"/>
      <c r="AM25" s="78"/>
      <c r="AN25" s="78">
        <v>4.0910000000000002</v>
      </c>
      <c r="AO25" s="78">
        <v>30.14</v>
      </c>
      <c r="AP25" s="78">
        <v>0.14499999999999999</v>
      </c>
      <c r="AQ25" s="78">
        <v>1.3480000000000001</v>
      </c>
      <c r="AR25" s="78">
        <v>0.01</v>
      </c>
      <c r="AS25" s="78">
        <v>0.03</v>
      </c>
      <c r="AT25" s="78">
        <v>4.0000000000000001E-3</v>
      </c>
      <c r="AU25" s="78">
        <v>0.03</v>
      </c>
      <c r="AV25" s="78"/>
      <c r="AW25" s="78"/>
      <c r="AX25" s="78"/>
      <c r="AY25" s="78"/>
      <c r="AZ25" s="78">
        <f>10.4+0.32+0.012</f>
        <v>10.732000000000001</v>
      </c>
      <c r="BA25" s="78">
        <f>5.25+0.036+24.96</f>
        <v>30.246000000000002</v>
      </c>
      <c r="BB25" s="79">
        <f t="shared" si="0"/>
        <v>57.893000000000001</v>
      </c>
      <c r="BC25" s="79">
        <f t="shared" si="0"/>
        <v>344.42999999999995</v>
      </c>
    </row>
    <row r="26" spans="1:55" ht="26.25" customHeight="1" x14ac:dyDescent="0.25">
      <c r="A26" s="80" t="s">
        <v>32</v>
      </c>
      <c r="B26" s="78"/>
      <c r="C26" s="78"/>
      <c r="D26" s="78">
        <v>0.25</v>
      </c>
      <c r="E26" s="78">
        <v>2.75</v>
      </c>
      <c r="F26" s="78">
        <v>0.2</v>
      </c>
      <c r="G26" s="78">
        <v>1.95</v>
      </c>
      <c r="H26" s="78"/>
      <c r="I26" s="78"/>
      <c r="J26" s="78">
        <v>7.3</v>
      </c>
      <c r="K26" s="78">
        <v>93.6</v>
      </c>
      <c r="L26" s="78">
        <v>0.03</v>
      </c>
      <c r="M26" s="78">
        <v>0.24</v>
      </c>
      <c r="N26" s="78"/>
      <c r="O26" s="78"/>
      <c r="P26" s="78">
        <v>0.2</v>
      </c>
      <c r="Q26" s="78">
        <v>1.2</v>
      </c>
      <c r="R26" s="78">
        <v>0.5</v>
      </c>
      <c r="S26" s="78">
        <v>4</v>
      </c>
      <c r="T26" s="78">
        <v>0.15</v>
      </c>
      <c r="U26" s="78">
        <v>1.8</v>
      </c>
      <c r="V26" s="78">
        <v>0.2</v>
      </c>
      <c r="W26" s="78">
        <v>2.4</v>
      </c>
      <c r="X26" s="78">
        <v>0.45</v>
      </c>
      <c r="Y26" s="78">
        <v>2.8</v>
      </c>
      <c r="Z26" s="78">
        <v>0.5</v>
      </c>
      <c r="AA26" s="78">
        <v>4</v>
      </c>
      <c r="AB26" s="78">
        <v>1.35</v>
      </c>
      <c r="AC26" s="78">
        <v>13.5</v>
      </c>
      <c r="AD26" s="78">
        <v>8.5</v>
      </c>
      <c r="AE26" s="78">
        <v>20</v>
      </c>
      <c r="AF26" s="79">
        <f>'[2]3rd Citrus 2013-14'!J26</f>
        <v>7.76</v>
      </c>
      <c r="AG26" s="79">
        <f>'[2]3rd Citrus 2013-14'!K26</f>
        <v>68.08</v>
      </c>
      <c r="AH26" s="78">
        <v>0.35</v>
      </c>
      <c r="AI26" s="78">
        <v>2.8</v>
      </c>
      <c r="AJ26" s="78">
        <v>0.3</v>
      </c>
      <c r="AK26" s="78">
        <v>3</v>
      </c>
      <c r="AL26" s="78"/>
      <c r="AM26" s="78"/>
      <c r="AN26" s="78">
        <v>9.4</v>
      </c>
      <c r="AO26" s="78">
        <v>141</v>
      </c>
      <c r="AP26" s="78">
        <v>0.45</v>
      </c>
      <c r="AQ26" s="78">
        <v>3.2</v>
      </c>
      <c r="AR26" s="78">
        <v>0.12</v>
      </c>
      <c r="AS26" s="78">
        <v>0.72</v>
      </c>
      <c r="AT26" s="78"/>
      <c r="AU26" s="78"/>
      <c r="AV26" s="78"/>
      <c r="AW26" s="78"/>
      <c r="AX26" s="78"/>
      <c r="AY26" s="78"/>
      <c r="AZ26" s="78">
        <f>1.5+0.65</f>
        <v>2.15</v>
      </c>
      <c r="BA26" s="78">
        <f>5.2+3.5</f>
        <v>8.6999999999999993</v>
      </c>
      <c r="BB26" s="79">
        <f t="shared" si="0"/>
        <v>40.160000000000004</v>
      </c>
      <c r="BC26" s="79">
        <f t="shared" si="0"/>
        <v>375.74</v>
      </c>
    </row>
    <row r="27" spans="1:55" ht="26.25" customHeight="1" x14ac:dyDescent="0.25">
      <c r="A27" s="77" t="s">
        <v>189</v>
      </c>
      <c r="B27" s="78"/>
      <c r="C27" s="78"/>
      <c r="D27" s="78">
        <v>2.02</v>
      </c>
      <c r="E27" s="78">
        <v>0.71</v>
      </c>
      <c r="F27" s="78"/>
      <c r="G27" s="78"/>
      <c r="H27" s="78"/>
      <c r="I27" s="78"/>
      <c r="J27" s="78">
        <v>25.06</v>
      </c>
      <c r="K27" s="78">
        <v>476.6</v>
      </c>
      <c r="L27" s="78"/>
      <c r="M27" s="78"/>
      <c r="N27" s="78"/>
      <c r="O27" s="78"/>
      <c r="P27" s="78"/>
      <c r="Q27" s="78"/>
      <c r="R27" s="78">
        <v>14.2</v>
      </c>
      <c r="S27" s="78">
        <v>103.6</v>
      </c>
      <c r="T27" s="78"/>
      <c r="U27" s="78"/>
      <c r="V27" s="78"/>
      <c r="W27" s="78"/>
      <c r="X27" s="78">
        <v>4.47</v>
      </c>
      <c r="Y27" s="78">
        <v>20.32</v>
      </c>
      <c r="Z27" s="78">
        <v>197.52</v>
      </c>
      <c r="AA27" s="78">
        <v>751.02</v>
      </c>
      <c r="AB27" s="78">
        <v>3.28</v>
      </c>
      <c r="AC27" s="78">
        <v>72.180000000000007</v>
      </c>
      <c r="AD27" s="78"/>
      <c r="AE27" s="78"/>
      <c r="AF27" s="79">
        <f>'[2]3rd Citrus 2013-14'!J27</f>
        <v>27.52</v>
      </c>
      <c r="AG27" s="79">
        <f>'[2]3rd Citrus 2013-14'!K27</f>
        <v>268.01</v>
      </c>
      <c r="AH27" s="78"/>
      <c r="AI27" s="78"/>
      <c r="AJ27" s="78"/>
      <c r="AK27" s="78"/>
      <c r="AL27" s="78"/>
      <c r="AM27" s="78"/>
      <c r="AN27" s="78">
        <v>0.84</v>
      </c>
      <c r="AO27" s="78">
        <v>10.38</v>
      </c>
      <c r="AP27" s="78"/>
      <c r="AQ27" s="78"/>
      <c r="AR27" s="78">
        <v>0.23</v>
      </c>
      <c r="AS27" s="78">
        <v>0.87</v>
      </c>
      <c r="AT27" s="78">
        <v>3.35</v>
      </c>
      <c r="AU27" s="78">
        <v>15.64</v>
      </c>
      <c r="AV27" s="78"/>
      <c r="AW27" s="78"/>
      <c r="AX27" s="78"/>
      <c r="AY27" s="78"/>
      <c r="AZ27" s="78">
        <v>47.37</v>
      </c>
      <c r="BA27" s="78">
        <v>428.94</v>
      </c>
      <c r="BB27" s="79">
        <f t="shared" si="0"/>
        <v>325.86</v>
      </c>
      <c r="BC27" s="79">
        <f t="shared" si="0"/>
        <v>2148.27</v>
      </c>
    </row>
    <row r="28" spans="1:55" ht="26.25" customHeight="1" x14ac:dyDescent="0.25">
      <c r="A28" s="80" t="s">
        <v>167</v>
      </c>
      <c r="B28" s="78"/>
      <c r="C28" s="78"/>
      <c r="D28" s="78">
        <v>1.9E-2</v>
      </c>
      <c r="E28" s="78">
        <v>9.5000000000000001E-2</v>
      </c>
      <c r="F28" s="78"/>
      <c r="G28" s="78"/>
      <c r="H28" s="78"/>
      <c r="I28" s="78"/>
      <c r="J28" s="78">
        <v>0.26</v>
      </c>
      <c r="K28" s="78">
        <v>8.782</v>
      </c>
      <c r="L28" s="78"/>
      <c r="M28" s="78"/>
      <c r="N28" s="78"/>
      <c r="O28" s="78"/>
      <c r="P28" s="78"/>
      <c r="Q28" s="78"/>
      <c r="R28" s="78">
        <v>7.0999999999999994E-2</v>
      </c>
      <c r="S28" s="78">
        <v>0.55500000000000005</v>
      </c>
      <c r="T28" s="78">
        <v>6.0000000000000001E-3</v>
      </c>
      <c r="U28" s="78">
        <v>6.6000000000000003E-2</v>
      </c>
      <c r="V28" s="78"/>
      <c r="W28" s="78"/>
      <c r="X28" s="78"/>
      <c r="Y28" s="78"/>
      <c r="Z28" s="78">
        <v>0.20200000000000001</v>
      </c>
      <c r="AA28" s="78">
        <v>2.5659999999999998</v>
      </c>
      <c r="AB28" s="78"/>
      <c r="AC28" s="78"/>
      <c r="AD28" s="78"/>
      <c r="AE28" s="78"/>
      <c r="AF28" s="79">
        <f>'[2]3rd Citrus 2013-14'!J28</f>
        <v>1.2999999999999999E-2</v>
      </c>
      <c r="AG28" s="79">
        <f>'[2]3rd Citrus 2013-14'!K28</f>
        <v>0.104</v>
      </c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>
        <v>4.4999999999999998E-2</v>
      </c>
      <c r="AU28" s="78">
        <v>0.26100000000000001</v>
      </c>
      <c r="AV28" s="78"/>
      <c r="AW28" s="78"/>
      <c r="AX28" s="78"/>
      <c r="AY28" s="78"/>
      <c r="AZ28" s="78">
        <v>2.5000000000000001E-2</v>
      </c>
      <c r="BA28" s="78">
        <v>0.15</v>
      </c>
      <c r="BB28" s="79">
        <f t="shared" si="0"/>
        <v>0.64100000000000013</v>
      </c>
      <c r="BC28" s="79">
        <f t="shared" si="0"/>
        <v>12.578999999999999</v>
      </c>
    </row>
    <row r="29" spans="1:55" ht="26.25" customHeight="1" x14ac:dyDescent="0.25">
      <c r="A29" s="77" t="s">
        <v>33</v>
      </c>
      <c r="B29" s="78"/>
      <c r="C29" s="78"/>
      <c r="D29" s="78">
        <v>0.37</v>
      </c>
      <c r="E29" s="78">
        <v>5.1100000000000003</v>
      </c>
      <c r="F29" s="78"/>
      <c r="G29" s="78"/>
      <c r="H29" s="78"/>
      <c r="I29" s="78"/>
      <c r="J29" s="78">
        <v>0.17</v>
      </c>
      <c r="K29" s="78">
        <v>9.9600000000000009</v>
      </c>
      <c r="L29" s="78">
        <v>1.84</v>
      </c>
      <c r="M29" s="78">
        <v>30.33</v>
      </c>
      <c r="N29" s="78"/>
      <c r="O29" s="78"/>
      <c r="P29" s="78">
        <v>0.45</v>
      </c>
      <c r="Q29" s="78">
        <v>12.75</v>
      </c>
      <c r="R29" s="78">
        <v>8.2200000000000006</v>
      </c>
      <c r="S29" s="78">
        <v>180.95</v>
      </c>
      <c r="T29" s="78"/>
      <c r="U29" s="78"/>
      <c r="V29" s="78"/>
      <c r="W29" s="78"/>
      <c r="X29" s="78">
        <v>1.81</v>
      </c>
      <c r="Y29" s="78">
        <v>27.44</v>
      </c>
      <c r="Z29" s="78">
        <v>6.77</v>
      </c>
      <c r="AA29" s="78">
        <v>107.64</v>
      </c>
      <c r="AB29" s="78"/>
      <c r="AC29" s="78"/>
      <c r="AD29" s="78"/>
      <c r="AE29" s="78"/>
      <c r="AF29" s="79">
        <f>'[2]3rd Citrus 2013-14'!J29</f>
        <v>50.69</v>
      </c>
      <c r="AG29" s="79">
        <f>'[2]3rd Citrus 2013-14'!K29</f>
        <v>1029.8500000000001</v>
      </c>
      <c r="AH29" s="78">
        <v>1.77</v>
      </c>
      <c r="AI29" s="78">
        <v>31.28</v>
      </c>
      <c r="AJ29" s="78">
        <v>2.89</v>
      </c>
      <c r="AK29" s="78">
        <v>65.47</v>
      </c>
      <c r="AL29" s="78"/>
      <c r="AM29" s="78"/>
      <c r="AN29" s="78"/>
      <c r="AO29" s="78"/>
      <c r="AP29" s="78">
        <v>0.22</v>
      </c>
      <c r="AQ29" s="78">
        <v>3.81</v>
      </c>
      <c r="AR29" s="78"/>
      <c r="AS29" s="78"/>
      <c r="AT29" s="78"/>
      <c r="AU29" s="78"/>
      <c r="AV29" s="78"/>
      <c r="AW29" s="78"/>
      <c r="AX29" s="78"/>
      <c r="AY29" s="78"/>
      <c r="AZ29" s="78">
        <v>1.75</v>
      </c>
      <c r="BA29" s="78">
        <v>24.02</v>
      </c>
      <c r="BB29" s="79">
        <f t="shared" si="0"/>
        <v>76.949999999999989</v>
      </c>
      <c r="BC29" s="79">
        <f t="shared" si="0"/>
        <v>1528.6100000000001</v>
      </c>
    </row>
    <row r="30" spans="1:55" ht="26.25" customHeight="1" x14ac:dyDescent="0.25">
      <c r="A30" s="77" t="s">
        <v>201</v>
      </c>
      <c r="B30" s="78"/>
      <c r="C30" s="78"/>
      <c r="D30" s="78">
        <v>5.03</v>
      </c>
      <c r="E30" s="78">
        <v>51.85</v>
      </c>
      <c r="F30" s="78"/>
      <c r="G30" s="78"/>
      <c r="H30" s="78"/>
      <c r="I30" s="78"/>
      <c r="J30" s="78">
        <v>0.06</v>
      </c>
      <c r="K30" s="78">
        <v>0.95</v>
      </c>
      <c r="L30" s="78">
        <v>2.79</v>
      </c>
      <c r="M30" s="78">
        <v>20.309999999999999</v>
      </c>
      <c r="N30" s="78">
        <v>0.66</v>
      </c>
      <c r="O30" s="78">
        <v>3.95</v>
      </c>
      <c r="P30" s="78"/>
      <c r="Q30" s="78"/>
      <c r="R30" s="78">
        <v>6.08</v>
      </c>
      <c r="S30" s="78">
        <v>77.760000000000005</v>
      </c>
      <c r="T30" s="78"/>
      <c r="U30" s="78"/>
      <c r="V30" s="78"/>
      <c r="W30" s="78"/>
      <c r="X30" s="78"/>
      <c r="Y30" s="78"/>
      <c r="Z30" s="78">
        <v>6.2</v>
      </c>
      <c r="AA30" s="78">
        <v>73.92</v>
      </c>
      <c r="AB30" s="78">
        <v>1.1000000000000001</v>
      </c>
      <c r="AC30" s="78">
        <v>32.76</v>
      </c>
      <c r="AD30" s="78"/>
      <c r="AE30" s="78"/>
      <c r="AF30" s="79">
        <f>'[2]3rd Citrus 2013-14'!J30</f>
        <v>31.68</v>
      </c>
      <c r="AG30" s="79">
        <f>'[2]3rd Citrus 2013-14'!K30</f>
        <v>504.14</v>
      </c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>
        <v>2.63</v>
      </c>
      <c r="AS30" s="78">
        <v>10.69</v>
      </c>
      <c r="AT30" s="78">
        <v>0.03</v>
      </c>
      <c r="AU30" s="78">
        <v>0.35</v>
      </c>
      <c r="AV30" s="78"/>
      <c r="AW30" s="78"/>
      <c r="AX30" s="78"/>
      <c r="AY30" s="78"/>
      <c r="AZ30" s="78">
        <v>0.86</v>
      </c>
      <c r="BA30" s="78">
        <v>1.77</v>
      </c>
      <c r="BB30" s="79">
        <f t="shared" si="0"/>
        <v>57.120000000000005</v>
      </c>
      <c r="BC30" s="79">
        <f t="shared" si="0"/>
        <v>778.45</v>
      </c>
    </row>
    <row r="31" spans="1:55" ht="26.25" customHeight="1" x14ac:dyDescent="0.25">
      <c r="A31" s="77" t="s">
        <v>35</v>
      </c>
      <c r="B31" s="78"/>
      <c r="C31" s="78"/>
      <c r="D31" s="78"/>
      <c r="E31" s="78"/>
      <c r="F31" s="78">
        <v>2.4E-2</v>
      </c>
      <c r="G31" s="78">
        <v>2.8000000000000001E-2</v>
      </c>
      <c r="H31" s="78"/>
      <c r="I31" s="78"/>
      <c r="J31" s="78">
        <v>1.6279999999999999</v>
      </c>
      <c r="K31" s="78">
        <v>3.89</v>
      </c>
      <c r="L31" s="78"/>
      <c r="M31" s="78"/>
      <c r="N31" s="78"/>
      <c r="O31" s="78"/>
      <c r="P31" s="78"/>
      <c r="Q31" s="78"/>
      <c r="R31" s="78">
        <v>1.101</v>
      </c>
      <c r="S31" s="78">
        <v>0.105</v>
      </c>
      <c r="T31" s="78"/>
      <c r="U31" s="78"/>
      <c r="V31" s="78">
        <v>9.2999999999999999E-2</v>
      </c>
      <c r="W31" s="78">
        <v>0.78500000000000003</v>
      </c>
      <c r="X31" s="78">
        <v>0.315</v>
      </c>
      <c r="Y31" s="78">
        <v>2.7E-2</v>
      </c>
      <c r="Z31" s="78"/>
      <c r="AA31" s="78"/>
      <c r="AB31" s="78">
        <v>0.69499999999999995</v>
      </c>
      <c r="AC31" s="78">
        <v>0.56599999999999995</v>
      </c>
      <c r="AD31" s="78">
        <v>0.52500000000000002</v>
      </c>
      <c r="AE31" s="78">
        <v>0.16500000000000001</v>
      </c>
      <c r="AF31" s="79">
        <f>'[2]3rd Citrus 2013-14'!J31</f>
        <v>10.282</v>
      </c>
      <c r="AG31" s="79">
        <f>'[2]3rd Citrus 2013-14'!K31</f>
        <v>16.855</v>
      </c>
      <c r="AH31" s="78">
        <v>0.18099999999999999</v>
      </c>
      <c r="AI31" s="78">
        <v>0.09</v>
      </c>
      <c r="AJ31" s="78">
        <v>1.18</v>
      </c>
      <c r="AK31" s="78">
        <v>1.53</v>
      </c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BB31" s="79">
        <f t="shared" si="0"/>
        <v>16.024000000000001</v>
      </c>
      <c r="BC31" s="79">
        <f t="shared" si="0"/>
        <v>24.041</v>
      </c>
    </row>
    <row r="32" spans="1:55" ht="26.25" customHeight="1" x14ac:dyDescent="0.25">
      <c r="A32" s="77" t="s">
        <v>36</v>
      </c>
      <c r="B32" s="78"/>
      <c r="C32" s="78"/>
      <c r="D32" s="78">
        <v>9.73</v>
      </c>
      <c r="E32" s="78">
        <v>191.79</v>
      </c>
      <c r="F32" s="78">
        <v>0.01</v>
      </c>
      <c r="G32" s="78">
        <v>0.03</v>
      </c>
      <c r="H32" s="78"/>
      <c r="I32" s="78"/>
      <c r="J32" s="83">
        <v>118.04</v>
      </c>
      <c r="K32" s="78">
        <v>5650</v>
      </c>
      <c r="L32" s="78"/>
      <c r="M32" s="78"/>
      <c r="N32" s="78"/>
      <c r="O32" s="78"/>
      <c r="P32" s="78">
        <v>2.84</v>
      </c>
      <c r="Q32" s="78">
        <v>47.72</v>
      </c>
      <c r="R32" s="78">
        <v>8.83</v>
      </c>
      <c r="S32" s="78">
        <v>50.75</v>
      </c>
      <c r="T32" s="78">
        <v>3.28</v>
      </c>
      <c r="U32" s="78">
        <v>17.73</v>
      </c>
      <c r="V32" s="78"/>
      <c r="W32" s="78"/>
      <c r="X32" s="78"/>
      <c r="Y32" s="78"/>
      <c r="Z32" s="78">
        <v>161.58000000000001</v>
      </c>
      <c r="AA32" s="78">
        <v>785.5</v>
      </c>
      <c r="AB32" s="78">
        <v>1.02</v>
      </c>
      <c r="AC32" s="78">
        <v>202.67</v>
      </c>
      <c r="AD32" s="78"/>
      <c r="AE32" s="78"/>
      <c r="AF32" s="79">
        <f>'[2]3rd Citrus 2013-14'!J32</f>
        <v>11.419999999999998</v>
      </c>
      <c r="AG32" s="79">
        <f>'[2]3rd Citrus 2013-14'!K32</f>
        <v>39.700000000000003</v>
      </c>
      <c r="AH32" s="78">
        <v>0.11</v>
      </c>
      <c r="AI32" s="78">
        <v>0.71</v>
      </c>
      <c r="AJ32" s="78">
        <v>1.07</v>
      </c>
      <c r="AK32" s="78">
        <v>41.98</v>
      </c>
      <c r="AL32" s="78"/>
      <c r="AM32" s="78"/>
      <c r="AN32" s="78">
        <v>0.69</v>
      </c>
      <c r="AO32" s="78">
        <v>22.9</v>
      </c>
      <c r="AP32" s="78">
        <v>0.48</v>
      </c>
      <c r="AQ32" s="78">
        <v>5.81</v>
      </c>
      <c r="AR32" s="78">
        <v>0.4</v>
      </c>
      <c r="AS32" s="78">
        <v>13.09</v>
      </c>
      <c r="AT32" s="78">
        <v>8.0500000000000007</v>
      </c>
      <c r="AU32" s="78">
        <v>264.39</v>
      </c>
      <c r="AV32" s="78"/>
      <c r="AW32" s="78"/>
      <c r="AX32" s="78"/>
      <c r="AY32" s="78"/>
      <c r="AZ32" s="78">
        <v>1</v>
      </c>
      <c r="BA32" s="78">
        <v>35.090000000000003</v>
      </c>
      <c r="BB32" s="79">
        <f t="shared" si="0"/>
        <v>328.55000000000007</v>
      </c>
      <c r="BC32" s="79">
        <f t="shared" si="0"/>
        <v>7369.86</v>
      </c>
    </row>
    <row r="33" spans="1:55" ht="26.25" customHeight="1" x14ac:dyDescent="0.25">
      <c r="A33" s="77"/>
      <c r="B33" s="78"/>
      <c r="C33" s="78"/>
      <c r="D33" s="78"/>
      <c r="E33" s="78"/>
      <c r="F33" s="78"/>
      <c r="G33" s="78"/>
      <c r="H33" s="78"/>
      <c r="I33" s="78"/>
      <c r="J33" s="83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9"/>
      <c r="AG33" s="79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9"/>
      <c r="BC33" s="79"/>
    </row>
    <row r="34" spans="1:55" ht="26.25" customHeight="1" x14ac:dyDescent="0.25">
      <c r="A34" s="77" t="s">
        <v>37</v>
      </c>
      <c r="B34" s="78"/>
      <c r="C34" s="78"/>
      <c r="D34" s="78"/>
      <c r="E34" s="78"/>
      <c r="F34" s="78"/>
      <c r="G34" s="78"/>
      <c r="H34" s="78"/>
      <c r="I34" s="78"/>
      <c r="J34" s="78">
        <v>13.67</v>
      </c>
      <c r="K34" s="78">
        <v>70.2</v>
      </c>
      <c r="L34" s="78"/>
      <c r="M34" s="78"/>
      <c r="N34" s="78"/>
      <c r="O34" s="78"/>
      <c r="P34" s="78"/>
      <c r="Q34" s="78"/>
      <c r="R34" s="78">
        <v>0.54</v>
      </c>
      <c r="S34" s="78">
        <v>2.77</v>
      </c>
      <c r="T34" s="78">
        <v>9.0500000000000007</v>
      </c>
      <c r="U34" s="78">
        <v>270.5</v>
      </c>
      <c r="V34" s="78"/>
      <c r="W34" s="78"/>
      <c r="X34" s="78">
        <v>3.51</v>
      </c>
      <c r="Y34" s="78">
        <v>18</v>
      </c>
      <c r="Z34" s="78">
        <v>8.42</v>
      </c>
      <c r="AA34" s="78">
        <v>29</v>
      </c>
      <c r="AB34" s="78">
        <v>2.74</v>
      </c>
      <c r="AC34" s="78">
        <v>27.5</v>
      </c>
      <c r="AD34" s="78"/>
      <c r="AE34" s="78"/>
      <c r="AF34" s="79">
        <f>'[2]3rd Citrus 2013-14'!J33</f>
        <v>9.6999999999999993</v>
      </c>
      <c r="AG34" s="79">
        <f>'[2]3rd Citrus 2013-14'!K33</f>
        <v>47.0501</v>
      </c>
      <c r="AH34" s="78"/>
      <c r="AI34" s="78"/>
      <c r="AJ34" s="78"/>
      <c r="AK34" s="78"/>
      <c r="AL34" s="78"/>
      <c r="AM34" s="78"/>
      <c r="AN34" s="78">
        <v>11.85</v>
      </c>
      <c r="AO34" s="78">
        <v>165.5</v>
      </c>
      <c r="AP34" s="78"/>
      <c r="AQ34" s="78"/>
      <c r="AR34" s="78"/>
      <c r="AS34" s="78"/>
      <c r="AT34" s="78">
        <v>0.13</v>
      </c>
      <c r="AU34" s="78">
        <v>1.26</v>
      </c>
      <c r="AV34" s="78"/>
      <c r="AW34" s="78"/>
      <c r="AX34" s="78"/>
      <c r="AY34" s="78"/>
      <c r="AZ34" s="78">
        <v>0.96</v>
      </c>
      <c r="BA34" s="78">
        <v>7</v>
      </c>
      <c r="BB34" s="79">
        <f t="shared" si="0"/>
        <v>60.570000000000014</v>
      </c>
      <c r="BC34" s="79">
        <f t="shared" si="0"/>
        <v>638.78009999999995</v>
      </c>
    </row>
    <row r="35" spans="1:55" ht="26.25" customHeight="1" x14ac:dyDescent="0.25">
      <c r="A35" s="77" t="s">
        <v>38</v>
      </c>
      <c r="B35" s="78"/>
      <c r="C35" s="78"/>
      <c r="D35" s="78">
        <v>33.003</v>
      </c>
      <c r="E35" s="78">
        <v>359.733</v>
      </c>
      <c r="H35" s="78"/>
      <c r="I35" s="78"/>
      <c r="J35" s="78">
        <v>37.256999999999998</v>
      </c>
      <c r="K35" s="78">
        <v>1599.0219999999999</v>
      </c>
      <c r="L35" s="78"/>
      <c r="M35" s="78"/>
      <c r="N35" s="78"/>
      <c r="O35" s="78"/>
      <c r="P35" s="78"/>
      <c r="Q35" s="78"/>
      <c r="R35" s="78">
        <v>45.024000000000001</v>
      </c>
      <c r="S35" s="78">
        <v>605.029</v>
      </c>
      <c r="T35" s="78">
        <v>0.38</v>
      </c>
      <c r="U35" s="78">
        <v>9.5</v>
      </c>
      <c r="V35" s="78"/>
      <c r="W35" s="78"/>
      <c r="X35" s="78">
        <v>0.38800000000000001</v>
      </c>
      <c r="Y35" s="78">
        <v>1.9770000000000001</v>
      </c>
      <c r="Z35" s="78">
        <v>262.16199999999998</v>
      </c>
      <c r="AA35" s="78">
        <v>4300.9759999999997</v>
      </c>
      <c r="AB35" s="78">
        <v>0.187</v>
      </c>
      <c r="AC35" s="78">
        <v>9.5909999999999993</v>
      </c>
      <c r="AD35" s="78"/>
      <c r="AE35" s="78"/>
      <c r="AF35" s="79">
        <f>'[2]3rd Citrus 2013-14'!J34</f>
        <v>0.56399999999999995</v>
      </c>
      <c r="AG35" s="79">
        <f>'[2]3rd Citrus 2013-14'!K34</f>
        <v>1.6259999999999999</v>
      </c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>
        <f t="shared" si="0"/>
        <v>378.96499999999997</v>
      </c>
      <c r="BC35" s="79">
        <f t="shared" si="0"/>
        <v>6887.4539999999997</v>
      </c>
    </row>
    <row r="36" spans="1:55" ht="26.25" customHeight="1" x14ac:dyDescent="0.25">
      <c r="A36" s="77" t="s">
        <v>90</v>
      </c>
      <c r="B36" s="78"/>
      <c r="C36" s="78"/>
      <c r="D36" s="78">
        <v>0.53500000000000003</v>
      </c>
      <c r="E36" s="78">
        <v>1.2410000000000001</v>
      </c>
      <c r="F36" s="78">
        <v>33.761000000000003</v>
      </c>
      <c r="G36" s="78">
        <v>123.22799999999999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>
        <v>1.82</v>
      </c>
      <c r="S36" s="78">
        <v>11.356999999999999</v>
      </c>
      <c r="T36" s="78"/>
      <c r="U36" s="78"/>
      <c r="V36" s="78"/>
      <c r="W36" s="78"/>
      <c r="X36" s="78">
        <v>9.4849999999999994</v>
      </c>
      <c r="Y36" s="78">
        <v>19.16</v>
      </c>
      <c r="Z36" s="78">
        <v>39.85</v>
      </c>
      <c r="AA36" s="78">
        <v>148.63999999999999</v>
      </c>
      <c r="AB36" s="78"/>
      <c r="AC36" s="78"/>
      <c r="AD36" s="78"/>
      <c r="AE36" s="78"/>
      <c r="AF36" s="79">
        <f>'[2]3rd Citrus 2013-14'!J35</f>
        <v>27.965</v>
      </c>
      <c r="AG36" s="79">
        <f>'[2]3rd Citrus 2013-14'!K35</f>
        <v>138.98599999999999</v>
      </c>
      <c r="AH36" s="78">
        <v>9.0350000000000001</v>
      </c>
      <c r="AI36" s="78">
        <v>49.963999999999999</v>
      </c>
      <c r="AJ36" s="78">
        <v>15.09</v>
      </c>
      <c r="AK36" s="78">
        <v>108.648</v>
      </c>
      <c r="AL36" s="78"/>
      <c r="AM36" s="78"/>
      <c r="AN36" s="78"/>
      <c r="AO36" s="78"/>
      <c r="AP36" s="78">
        <v>9.66</v>
      </c>
      <c r="AQ36" s="78">
        <v>41.344999999999999</v>
      </c>
      <c r="AR36" s="78"/>
      <c r="AS36" s="78"/>
      <c r="AT36" s="78"/>
      <c r="AU36" s="78"/>
      <c r="AV36" s="78"/>
      <c r="AW36" s="78"/>
      <c r="AX36" s="78">
        <v>19.649999999999999</v>
      </c>
      <c r="AY36" s="78">
        <v>22.007999999999999</v>
      </c>
      <c r="AZ36" s="78">
        <f>9.05+24.95</f>
        <v>34</v>
      </c>
      <c r="BA36" s="78">
        <f>32.309+108.782</f>
        <v>141.09100000000001</v>
      </c>
      <c r="BB36" s="79">
        <f t="shared" si="0"/>
        <v>200.851</v>
      </c>
      <c r="BC36" s="79">
        <f t="shared" si="0"/>
        <v>805.66800000000001</v>
      </c>
    </row>
    <row r="37" spans="1:55" ht="26.25" customHeight="1" x14ac:dyDescent="0.25">
      <c r="A37" s="77" t="s">
        <v>40</v>
      </c>
      <c r="B37" s="78"/>
      <c r="C37" s="78"/>
      <c r="D37" s="78"/>
      <c r="E37" s="78"/>
      <c r="F37" s="78"/>
      <c r="G37" s="78"/>
      <c r="H37" s="78"/>
      <c r="I37" s="78"/>
      <c r="J37" s="78">
        <v>45.5</v>
      </c>
      <c r="K37" s="78">
        <v>1097.5</v>
      </c>
      <c r="L37" s="78"/>
      <c r="M37" s="78"/>
      <c r="N37" s="78"/>
      <c r="O37" s="78"/>
      <c r="P37" s="78"/>
      <c r="Q37" s="78"/>
      <c r="R37" s="78">
        <v>14.35</v>
      </c>
      <c r="S37" s="78">
        <v>186</v>
      </c>
      <c r="T37" s="78">
        <v>11.47</v>
      </c>
      <c r="U37" s="78">
        <v>194.5</v>
      </c>
      <c r="V37" s="78"/>
      <c r="W37" s="78"/>
      <c r="X37" s="78">
        <v>9.3000000000000007</v>
      </c>
      <c r="Y37" s="78">
        <v>93.9</v>
      </c>
      <c r="Z37" s="78">
        <v>93.5</v>
      </c>
      <c r="AA37" s="78">
        <v>430.71</v>
      </c>
      <c r="AB37" s="78">
        <v>11.4</v>
      </c>
      <c r="AC37" s="78">
        <v>335</v>
      </c>
      <c r="AD37" s="78"/>
      <c r="AE37" s="78"/>
      <c r="AF37" s="79">
        <f>'[2]3rd Citrus 2013-14'!J36</f>
        <v>11.879999999999999</v>
      </c>
      <c r="AG37" s="79">
        <f>'[2]3rd Citrus 2013-14'!K36</f>
        <v>111</v>
      </c>
      <c r="AH37" s="78"/>
      <c r="AI37" s="78"/>
      <c r="AJ37" s="78"/>
      <c r="AK37" s="78"/>
      <c r="AL37" s="78"/>
      <c r="AM37" s="78"/>
      <c r="AN37" s="78">
        <v>10.7</v>
      </c>
      <c r="AO37" s="78">
        <v>316</v>
      </c>
      <c r="AP37" s="78"/>
      <c r="AQ37" s="78"/>
      <c r="AR37" s="78"/>
      <c r="AS37" s="78"/>
      <c r="AT37" s="78">
        <v>4.2</v>
      </c>
      <c r="AU37" s="78">
        <v>45.4</v>
      </c>
      <c r="AV37" s="78"/>
      <c r="AW37" s="78"/>
      <c r="AX37" s="78"/>
      <c r="AY37" s="78"/>
      <c r="AZ37" s="78">
        <v>11.2</v>
      </c>
      <c r="BA37" s="78">
        <v>99.7</v>
      </c>
      <c r="BB37" s="79">
        <f t="shared" si="0"/>
        <v>223.49999999999997</v>
      </c>
      <c r="BC37" s="79">
        <f t="shared" si="0"/>
        <v>2909.71</v>
      </c>
    </row>
    <row r="38" spans="1:55" ht="26.25" customHeight="1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9"/>
      <c r="AG38" s="79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9"/>
      <c r="BC38" s="79"/>
    </row>
    <row r="39" spans="1:55" ht="26.25" customHeight="1" x14ac:dyDescent="0.25">
      <c r="A39" s="77" t="s">
        <v>9</v>
      </c>
      <c r="B39" s="79">
        <f>SUM(B3:B37)</f>
        <v>21.446999999999999</v>
      </c>
      <c r="C39" s="79">
        <f t="shared" ref="C39:BC39" si="1">SUM(C3:C37)</f>
        <v>12.744</v>
      </c>
      <c r="D39" s="79">
        <f t="shared" si="1"/>
        <v>109.803</v>
      </c>
      <c r="E39" s="79">
        <f t="shared" si="1"/>
        <v>1281.5409999999999</v>
      </c>
      <c r="F39" s="79">
        <f t="shared" si="1"/>
        <v>315.36700000000002</v>
      </c>
      <c r="G39" s="79">
        <f t="shared" si="1"/>
        <v>2543.5189999999998</v>
      </c>
      <c r="H39" s="79">
        <f t="shared" si="1"/>
        <v>0.73</v>
      </c>
      <c r="I39" s="79">
        <f t="shared" si="1"/>
        <v>1.831</v>
      </c>
      <c r="J39" s="79">
        <f t="shared" si="1"/>
        <v>831.20999999999981</v>
      </c>
      <c r="K39" s="79">
        <f t="shared" si="1"/>
        <v>29529.616999999998</v>
      </c>
      <c r="L39" s="79">
        <f t="shared" si="1"/>
        <v>39.878</v>
      </c>
      <c r="M39" s="79">
        <f t="shared" si="1"/>
        <v>381.77299999999997</v>
      </c>
      <c r="N39" s="79">
        <f t="shared" si="1"/>
        <v>23.041</v>
      </c>
      <c r="O39" s="79">
        <f t="shared" si="1"/>
        <v>174.46799999999999</v>
      </c>
      <c r="P39" s="79">
        <f t="shared" si="1"/>
        <v>119.027</v>
      </c>
      <c r="Q39" s="79">
        <f t="shared" si="1"/>
        <v>2525.2409999999995</v>
      </c>
      <c r="R39" s="79">
        <f t="shared" si="1"/>
        <v>272.00800000000004</v>
      </c>
      <c r="S39" s="79">
        <f t="shared" si="1"/>
        <v>3637.4718999999996</v>
      </c>
      <c r="T39" s="79">
        <f t="shared" si="1"/>
        <v>68.405000000000015</v>
      </c>
      <c r="U39" s="79">
        <f t="shared" si="1"/>
        <v>1277.6689999999999</v>
      </c>
      <c r="V39" s="79">
        <f t="shared" si="1"/>
        <v>4.7119999999999997</v>
      </c>
      <c r="W39" s="79">
        <f t="shared" si="1"/>
        <v>9.141</v>
      </c>
      <c r="X39" s="79">
        <f t="shared" si="1"/>
        <v>84.247000000000014</v>
      </c>
      <c r="Y39" s="79">
        <f t="shared" si="1"/>
        <v>599.15800000000002</v>
      </c>
      <c r="Z39" s="79">
        <f t="shared" si="1"/>
        <v>2528.1609999999996</v>
      </c>
      <c r="AA39" s="79">
        <f t="shared" si="1"/>
        <v>17938.358999999997</v>
      </c>
      <c r="AB39" s="79">
        <f t="shared" si="1"/>
        <v>134.76799999999997</v>
      </c>
      <c r="AC39" s="79">
        <f t="shared" si="1"/>
        <v>5572.6040000000012</v>
      </c>
      <c r="AD39" s="79">
        <f t="shared" si="1"/>
        <v>19.012999999999998</v>
      </c>
      <c r="AE39" s="79">
        <f t="shared" si="1"/>
        <v>122.685</v>
      </c>
      <c r="AF39" s="79">
        <f t="shared" si="1"/>
        <v>1070.9009999999998</v>
      </c>
      <c r="AG39" s="79">
        <f t="shared" si="1"/>
        <v>10484.215100000001</v>
      </c>
      <c r="AH39" s="79">
        <f t="shared" si="1"/>
        <v>19.219000000000001</v>
      </c>
      <c r="AI39" s="79">
        <f t="shared" si="1"/>
        <v>99.204000000000008</v>
      </c>
      <c r="AJ39" s="79">
        <f t="shared" si="1"/>
        <v>43.611000000000004</v>
      </c>
      <c r="AK39" s="79">
        <f t="shared" si="1"/>
        <v>334.09699999999998</v>
      </c>
      <c r="AL39" s="79">
        <f t="shared" si="1"/>
        <v>0.61899999999999999</v>
      </c>
      <c r="AM39" s="79">
        <f t="shared" si="1"/>
        <v>0.17100000000000001</v>
      </c>
      <c r="AN39" s="79">
        <f t="shared" si="1"/>
        <v>108.71899999999999</v>
      </c>
      <c r="AO39" s="79">
        <f t="shared" si="1"/>
        <v>1680.5140000000004</v>
      </c>
      <c r="AP39" s="79">
        <f t="shared" si="1"/>
        <v>24.252000000000002</v>
      </c>
      <c r="AQ39" s="79">
        <f t="shared" si="1"/>
        <v>82.313999999999993</v>
      </c>
      <c r="AR39" s="79">
        <f t="shared" si="1"/>
        <v>128.94700000000003</v>
      </c>
      <c r="AS39" s="79">
        <f t="shared" si="1"/>
        <v>1071.7185499999998</v>
      </c>
      <c r="AT39" s="79">
        <f t="shared" si="1"/>
        <v>164.55099999999999</v>
      </c>
      <c r="AU39" s="79">
        <f t="shared" si="1"/>
        <v>1523.4199999999998</v>
      </c>
      <c r="AV39" s="79">
        <f t="shared" si="1"/>
        <v>0.66200000000000003</v>
      </c>
      <c r="AW39" s="79">
        <f t="shared" si="1"/>
        <v>1.895</v>
      </c>
      <c r="AX39" s="79">
        <f t="shared" si="1"/>
        <v>124.73400000000001</v>
      </c>
      <c r="AY39" s="79">
        <f t="shared" si="1"/>
        <v>245.57900000000001</v>
      </c>
      <c r="AZ39" s="79">
        <f t="shared" si="1"/>
        <v>927.96300000000008</v>
      </c>
      <c r="BA39" s="79">
        <f t="shared" si="1"/>
        <v>5691.2390000000005</v>
      </c>
      <c r="BB39" s="79">
        <f t="shared" si="1"/>
        <v>7185.9949999999999</v>
      </c>
      <c r="BC39" s="79">
        <f t="shared" si="1"/>
        <v>86822.188550000006</v>
      </c>
    </row>
    <row r="40" spans="1:55" ht="26.25" customHeight="1" x14ac:dyDescent="0.25">
      <c r="B40" s="84" t="s">
        <v>212</v>
      </c>
      <c r="T40" s="84" t="s">
        <v>212</v>
      </c>
      <c r="AL40" s="84" t="s">
        <v>212</v>
      </c>
    </row>
  </sheetData>
  <mergeCells count="27">
    <mergeCell ref="AV1:AW1"/>
    <mergeCell ref="AF1:AG1"/>
    <mergeCell ref="AH1:AI1"/>
    <mergeCell ref="AX1:AY1"/>
    <mergeCell ref="AZ1:BA1"/>
    <mergeCell ref="BB1:BC1"/>
    <mergeCell ref="AL1:AM1"/>
    <mergeCell ref="AN1:AO1"/>
    <mergeCell ref="AP1:AQ1"/>
    <mergeCell ref="AR1:AS1"/>
    <mergeCell ref="AT1:AU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L1:M1"/>
    <mergeCell ref="B1:C1"/>
    <mergeCell ref="D1:E1"/>
    <mergeCell ref="F1:G1"/>
    <mergeCell ref="H1:I1"/>
    <mergeCell ref="J1:K1"/>
  </mergeCells>
  <printOptions horizontalCentered="1" verticalCentered="1"/>
  <pageMargins left="0.22" right="0.17" top="0.5" bottom="0.25" header="0.5" footer="0.25"/>
  <pageSetup scale="53" orientation="landscape" r:id="rId1"/>
  <headerFooter alignWithMargins="0">
    <oddHeader xml:space="preserve">&amp;C&amp;"Times New Roman,Bold"&amp;14&amp;UArea and Production of Fruit Crops 2013-14 (3rd Advance Estimates)&amp;R&amp;"Times New Roman,Bold"&amp;8Area in'000 Ha
Production in '000 MT </oddHeader>
  </headerFooter>
  <colBreaks count="2" manualBreakCount="2">
    <brk id="19" max="38" man="1"/>
    <brk id="37" max="38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pane xSplit="1" ySplit="2" topLeftCell="B24" activePane="bottomRight" state="frozen"/>
      <selection sqref="A1:K2"/>
      <selection pane="topRight" sqref="A1:K2"/>
      <selection pane="bottomLeft" sqref="A1:K2"/>
      <selection pane="bottomRight" activeCell="A36" sqref="A36"/>
    </sheetView>
  </sheetViews>
  <sheetFormatPr defaultColWidth="9.5703125" defaultRowHeight="15.75" customHeight="1" x14ac:dyDescent="0.25"/>
  <cols>
    <col min="1" max="1" width="28.7109375" style="75" customWidth="1"/>
    <col min="2" max="11" width="14.5703125" style="75" customWidth="1"/>
    <col min="12" max="16384" width="9.5703125" style="75"/>
  </cols>
  <sheetData>
    <row r="1" spans="1:11" ht="45.75" customHeight="1" x14ac:dyDescent="0.25">
      <c r="A1" s="74" t="s">
        <v>202</v>
      </c>
      <c r="B1" s="280" t="s">
        <v>109</v>
      </c>
      <c r="C1" s="280"/>
      <c r="D1" s="284" t="s">
        <v>219</v>
      </c>
      <c r="E1" s="284"/>
      <c r="F1" s="285" t="s">
        <v>181</v>
      </c>
      <c r="G1" s="286"/>
      <c r="H1" s="280" t="s">
        <v>110</v>
      </c>
      <c r="I1" s="280"/>
      <c r="J1" s="280" t="s">
        <v>9</v>
      </c>
      <c r="K1" s="280"/>
    </row>
    <row r="2" spans="1:11" ht="15.75" customHeight="1" x14ac:dyDescent="0.25">
      <c r="A2" s="76"/>
      <c r="B2" s="85" t="s">
        <v>48</v>
      </c>
      <c r="C2" s="85" t="s">
        <v>10</v>
      </c>
      <c r="D2" s="85" t="s">
        <v>48</v>
      </c>
      <c r="E2" s="85" t="s">
        <v>10</v>
      </c>
      <c r="F2" s="85" t="s">
        <v>48</v>
      </c>
      <c r="G2" s="85" t="s">
        <v>10</v>
      </c>
      <c r="H2" s="85" t="s">
        <v>48</v>
      </c>
      <c r="I2" s="85" t="s">
        <v>10</v>
      </c>
      <c r="J2" s="85" t="s">
        <v>48</v>
      </c>
      <c r="K2" s="85" t="s">
        <v>10</v>
      </c>
    </row>
    <row r="3" spans="1:11" ht="15.75" customHeight="1" x14ac:dyDescent="0.25">
      <c r="A3" s="86" t="s">
        <v>11</v>
      </c>
      <c r="B3" s="78">
        <v>0.18</v>
      </c>
      <c r="C3" s="78">
        <v>1.43</v>
      </c>
      <c r="D3" s="75">
        <v>0.09</v>
      </c>
      <c r="E3" s="75">
        <v>0.39</v>
      </c>
      <c r="F3" s="78">
        <v>0.08</v>
      </c>
      <c r="G3" s="78">
        <v>0.48</v>
      </c>
      <c r="H3" s="78"/>
      <c r="I3" s="78"/>
      <c r="J3" s="79">
        <f>B3+D3+F3+H3</f>
        <v>0.35000000000000003</v>
      </c>
      <c r="K3" s="79">
        <f>C3+E3+G3+I3</f>
        <v>2.2999999999999998</v>
      </c>
    </row>
    <row r="4" spans="1:11" ht="15.75" customHeight="1" x14ac:dyDescent="0.25">
      <c r="A4" s="86" t="s">
        <v>12</v>
      </c>
      <c r="B4" s="78">
        <v>51.034999999999997</v>
      </c>
      <c r="C4" s="78">
        <v>765.52700000000004</v>
      </c>
      <c r="D4" s="78"/>
      <c r="E4" s="78"/>
      <c r="F4" s="78">
        <v>211.244</v>
      </c>
      <c r="G4" s="78">
        <v>2957.41</v>
      </c>
      <c r="H4" s="78"/>
      <c r="I4" s="78"/>
      <c r="J4" s="79">
        <f t="shared" ref="J4:K37" si="0">B4+D4+F4+H4</f>
        <v>262.279</v>
      </c>
      <c r="K4" s="79">
        <f t="shared" si="0"/>
        <v>3722.9369999999999</v>
      </c>
    </row>
    <row r="5" spans="1:11" ht="15.75" customHeight="1" x14ac:dyDescent="0.25">
      <c r="A5" s="87" t="s">
        <v>13</v>
      </c>
      <c r="B5" s="78"/>
      <c r="C5" s="78"/>
      <c r="D5" s="78"/>
      <c r="E5" s="78"/>
      <c r="F5" s="78"/>
      <c r="G5" s="78"/>
      <c r="H5" s="78">
        <v>39.875999999999998</v>
      </c>
      <c r="I5" s="78">
        <v>182.1</v>
      </c>
      <c r="J5" s="79">
        <f t="shared" si="0"/>
        <v>39.875999999999998</v>
      </c>
      <c r="K5" s="79">
        <f t="shared" si="0"/>
        <v>182.1</v>
      </c>
    </row>
    <row r="6" spans="1:11" ht="15.75" customHeight="1" x14ac:dyDescent="0.25">
      <c r="A6" s="86" t="s">
        <v>14</v>
      </c>
      <c r="B6" s="78">
        <v>14.351000000000001</v>
      </c>
      <c r="C6" s="78">
        <v>132.60300000000001</v>
      </c>
      <c r="D6" s="78">
        <v>16.613</v>
      </c>
      <c r="E6" s="78">
        <v>213.6</v>
      </c>
      <c r="F6" s="78">
        <v>0.14199999999999999</v>
      </c>
      <c r="G6" s="78">
        <v>1.8460000000000001</v>
      </c>
      <c r="H6" s="78"/>
      <c r="I6" s="78"/>
      <c r="J6" s="79">
        <f t="shared" si="0"/>
        <v>31.105999999999998</v>
      </c>
      <c r="K6" s="79">
        <f t="shared" si="0"/>
        <v>348.04899999999998</v>
      </c>
    </row>
    <row r="7" spans="1:11" ht="15" customHeight="1" x14ac:dyDescent="0.25">
      <c r="A7" s="86" t="s">
        <v>15</v>
      </c>
      <c r="B7" s="78">
        <v>18.161999999999999</v>
      </c>
      <c r="C7" s="78">
        <v>136.41200000000001</v>
      </c>
      <c r="D7" s="78"/>
      <c r="E7" s="78"/>
      <c r="F7" s="78"/>
      <c r="G7" s="78"/>
      <c r="H7" s="78"/>
      <c r="I7" s="78"/>
      <c r="J7" s="79">
        <f t="shared" si="0"/>
        <v>18.161999999999999</v>
      </c>
      <c r="K7" s="79">
        <f t="shared" si="0"/>
        <v>136.41200000000001</v>
      </c>
    </row>
    <row r="8" spans="1:11" ht="15.75" customHeight="1" x14ac:dyDescent="0.25">
      <c r="A8" s="86" t="s">
        <v>55</v>
      </c>
      <c r="B8" s="78">
        <v>11.46</v>
      </c>
      <c r="C8" s="78">
        <v>78.790000000000006</v>
      </c>
      <c r="D8" s="78"/>
      <c r="E8" s="78"/>
      <c r="F8" s="78">
        <v>0.35</v>
      </c>
      <c r="G8" s="78">
        <v>1.83</v>
      </c>
      <c r="H8" s="78"/>
      <c r="I8" s="78"/>
      <c r="J8" s="79">
        <f t="shared" si="0"/>
        <v>11.81</v>
      </c>
      <c r="K8" s="79">
        <f t="shared" si="0"/>
        <v>80.62</v>
      </c>
    </row>
    <row r="9" spans="1:11" ht="15.75" customHeight="1" x14ac:dyDescent="0.25">
      <c r="A9" s="86" t="s">
        <v>16</v>
      </c>
      <c r="B9" s="78"/>
      <c r="C9" s="78"/>
      <c r="D9" s="78"/>
      <c r="E9" s="78"/>
      <c r="F9" s="78"/>
      <c r="G9" s="78"/>
      <c r="H9" s="78"/>
      <c r="I9" s="78"/>
      <c r="J9" s="79">
        <f t="shared" si="0"/>
        <v>0</v>
      </c>
      <c r="K9" s="79">
        <f t="shared" si="0"/>
        <v>0</v>
      </c>
    </row>
    <row r="10" spans="1:11" ht="15.75" customHeight="1" x14ac:dyDescent="0.25">
      <c r="A10" s="86" t="s">
        <v>17</v>
      </c>
      <c r="B10" s="78"/>
      <c r="C10" s="78"/>
      <c r="D10" s="78"/>
      <c r="E10" s="78"/>
      <c r="F10" s="78"/>
      <c r="G10" s="78"/>
      <c r="H10" s="78"/>
      <c r="I10" s="78"/>
      <c r="J10" s="79">
        <f t="shared" si="0"/>
        <v>0</v>
      </c>
      <c r="K10" s="79">
        <f t="shared" si="0"/>
        <v>0</v>
      </c>
    </row>
    <row r="11" spans="1:11" ht="15.75" customHeight="1" x14ac:dyDescent="0.25">
      <c r="A11" s="86" t="s">
        <v>18</v>
      </c>
      <c r="B11" s="78"/>
      <c r="C11" s="78"/>
      <c r="D11" s="78"/>
      <c r="E11" s="78"/>
      <c r="F11" s="78"/>
      <c r="G11" s="78"/>
      <c r="H11" s="78"/>
      <c r="I11" s="78"/>
      <c r="J11" s="79">
        <f t="shared" si="0"/>
        <v>0</v>
      </c>
      <c r="K11" s="79">
        <f t="shared" si="0"/>
        <v>0</v>
      </c>
    </row>
    <row r="12" spans="1:11" ht="15.75" customHeight="1" x14ac:dyDescent="0.25">
      <c r="A12" s="86" t="s">
        <v>19</v>
      </c>
      <c r="B12" s="78"/>
      <c r="C12" s="78"/>
      <c r="D12" s="78"/>
      <c r="E12" s="78"/>
      <c r="F12" s="78"/>
      <c r="G12" s="78"/>
      <c r="H12" s="78"/>
      <c r="I12" s="78"/>
      <c r="J12" s="79">
        <f t="shared" si="0"/>
        <v>0</v>
      </c>
      <c r="K12" s="79">
        <f t="shared" si="0"/>
        <v>0</v>
      </c>
    </row>
    <row r="13" spans="1:11" ht="15.75" customHeight="1" x14ac:dyDescent="0.25">
      <c r="A13" s="86" t="s">
        <v>20</v>
      </c>
      <c r="B13" s="78">
        <v>40.799999999999997</v>
      </c>
      <c r="C13" s="78">
        <v>433.12</v>
      </c>
      <c r="D13" s="78"/>
      <c r="E13" s="78"/>
      <c r="F13" s="78"/>
      <c r="G13" s="78"/>
      <c r="H13" s="78"/>
      <c r="I13" s="78"/>
      <c r="J13" s="79">
        <f t="shared" si="0"/>
        <v>40.799999999999997</v>
      </c>
      <c r="K13" s="79">
        <f t="shared" si="0"/>
        <v>433.12</v>
      </c>
    </row>
    <row r="14" spans="1:11" ht="15.75" customHeight="1" x14ac:dyDescent="0.25">
      <c r="A14" s="86" t="s">
        <v>21</v>
      </c>
      <c r="B14" s="78"/>
      <c r="C14" s="78"/>
      <c r="D14" s="78"/>
      <c r="E14" s="78"/>
      <c r="F14" s="78"/>
      <c r="G14" s="78"/>
      <c r="H14" s="78">
        <v>19.399999999999999</v>
      </c>
      <c r="I14" s="78">
        <v>231.42</v>
      </c>
      <c r="J14" s="79">
        <f t="shared" si="0"/>
        <v>19.399999999999999</v>
      </c>
      <c r="K14" s="79">
        <f t="shared" si="0"/>
        <v>231.42</v>
      </c>
    </row>
    <row r="15" spans="1:11" ht="15.75" customHeight="1" x14ac:dyDescent="0.25">
      <c r="A15" s="86" t="s">
        <v>22</v>
      </c>
      <c r="B15" s="78">
        <v>10.348000000000001</v>
      </c>
      <c r="C15" s="78">
        <v>5.9269999999999996</v>
      </c>
      <c r="D15" s="78">
        <v>8.61</v>
      </c>
      <c r="E15" s="78">
        <v>11.01</v>
      </c>
      <c r="F15" s="78">
        <v>1.536</v>
      </c>
      <c r="G15" s="78">
        <v>1.946</v>
      </c>
      <c r="H15" s="78">
        <v>2.31</v>
      </c>
      <c r="I15" s="78">
        <v>3.39</v>
      </c>
      <c r="J15" s="79">
        <f t="shared" si="0"/>
        <v>22.803999999999998</v>
      </c>
      <c r="K15" s="79">
        <f t="shared" si="0"/>
        <v>22.273</v>
      </c>
    </row>
    <row r="16" spans="1:11" ht="15.75" customHeight="1" x14ac:dyDescent="0.25">
      <c r="A16" s="86" t="s">
        <v>23</v>
      </c>
      <c r="B16" s="78"/>
      <c r="C16" s="78"/>
      <c r="D16" s="78"/>
      <c r="E16" s="78"/>
      <c r="F16" s="78"/>
      <c r="G16" s="78"/>
      <c r="H16" s="78">
        <v>14.215999999999999</v>
      </c>
      <c r="I16" s="78">
        <v>22.57</v>
      </c>
      <c r="J16" s="79">
        <f t="shared" si="0"/>
        <v>14.215999999999999</v>
      </c>
      <c r="K16" s="79">
        <f t="shared" si="0"/>
        <v>22.57</v>
      </c>
    </row>
    <row r="17" spans="1:11" ht="15.75" customHeight="1" x14ac:dyDescent="0.25">
      <c r="A17" s="86" t="s">
        <v>24</v>
      </c>
      <c r="B17" s="78">
        <v>8.82</v>
      </c>
      <c r="C17" s="78">
        <v>87.668999999999997</v>
      </c>
      <c r="D17" s="78"/>
      <c r="E17" s="78"/>
      <c r="F17" s="78"/>
      <c r="G17" s="78"/>
      <c r="H17" s="78"/>
      <c r="I17" s="78"/>
      <c r="J17" s="79">
        <f t="shared" si="0"/>
        <v>8.82</v>
      </c>
      <c r="K17" s="79">
        <f t="shared" si="0"/>
        <v>87.668999999999997</v>
      </c>
    </row>
    <row r="18" spans="1:11" ht="15.75" customHeight="1" x14ac:dyDescent="0.25">
      <c r="A18" s="86" t="s">
        <v>25</v>
      </c>
      <c r="B18" s="78">
        <v>11.5</v>
      </c>
      <c r="C18" s="78">
        <v>268.2</v>
      </c>
      <c r="D18" s="78">
        <v>3.4</v>
      </c>
      <c r="E18" s="78">
        <v>75.900000000000006</v>
      </c>
      <c r="F18" s="78">
        <v>2.1</v>
      </c>
      <c r="G18" s="78">
        <v>31.5</v>
      </c>
      <c r="H18" s="78">
        <v>0.3</v>
      </c>
      <c r="I18" s="78">
        <v>3.6</v>
      </c>
      <c r="J18" s="79">
        <f t="shared" si="0"/>
        <v>17.3</v>
      </c>
      <c r="K18" s="79">
        <f t="shared" si="0"/>
        <v>379.20000000000005</v>
      </c>
    </row>
    <row r="19" spans="1:11" ht="15.75" customHeight="1" x14ac:dyDescent="0.25">
      <c r="A19" s="86" t="s">
        <v>26</v>
      </c>
      <c r="B19" s="78"/>
      <c r="C19" s="78"/>
      <c r="D19" s="78"/>
      <c r="E19" s="78"/>
      <c r="F19" s="78"/>
      <c r="G19" s="78"/>
      <c r="H19" s="78"/>
      <c r="I19" s="78"/>
      <c r="J19" s="79">
        <f t="shared" si="0"/>
        <v>0</v>
      </c>
      <c r="K19" s="79">
        <f t="shared" si="0"/>
        <v>0</v>
      </c>
    </row>
    <row r="20" spans="1:11" ht="15.75" customHeight="1" x14ac:dyDescent="0.25">
      <c r="A20" s="86" t="s">
        <v>56</v>
      </c>
      <c r="B20" s="78"/>
      <c r="C20" s="78"/>
      <c r="D20" s="78"/>
      <c r="E20" s="78"/>
      <c r="F20" s="78"/>
      <c r="G20" s="78"/>
      <c r="H20" s="78"/>
      <c r="I20" s="78"/>
      <c r="J20" s="79">
        <f t="shared" si="0"/>
        <v>0</v>
      </c>
      <c r="K20" s="79">
        <f t="shared" si="0"/>
        <v>0</v>
      </c>
    </row>
    <row r="21" spans="1:11" ht="15.75" customHeight="1" x14ac:dyDescent="0.25">
      <c r="A21" s="86" t="s">
        <v>27</v>
      </c>
      <c r="B21" s="78">
        <v>10.791</v>
      </c>
      <c r="C21" s="78">
        <v>237.4</v>
      </c>
      <c r="D21" s="78">
        <v>52.49</v>
      </c>
      <c r="E21" s="78">
        <v>894.6</v>
      </c>
      <c r="F21" s="78">
        <v>8.5269999999999992</v>
      </c>
      <c r="G21" s="78">
        <v>109</v>
      </c>
      <c r="H21" s="78"/>
      <c r="I21" s="78"/>
      <c r="J21" s="79">
        <f t="shared" si="0"/>
        <v>71.808000000000007</v>
      </c>
      <c r="K21" s="79">
        <f t="shared" si="0"/>
        <v>1241</v>
      </c>
    </row>
    <row r="22" spans="1:11" ht="15.75" customHeight="1" x14ac:dyDescent="0.25">
      <c r="A22" s="86" t="s">
        <v>28</v>
      </c>
      <c r="B22" s="78">
        <v>45</v>
      </c>
      <c r="C22" s="78">
        <v>245</v>
      </c>
      <c r="D22" s="78">
        <v>135</v>
      </c>
      <c r="E22" s="78">
        <v>380</v>
      </c>
      <c r="F22" s="78">
        <v>95</v>
      </c>
      <c r="G22" s="78">
        <v>523</v>
      </c>
      <c r="H22" s="78"/>
      <c r="I22" s="78"/>
      <c r="J22" s="79">
        <f t="shared" si="0"/>
        <v>275</v>
      </c>
      <c r="K22" s="79">
        <f t="shared" si="0"/>
        <v>1148</v>
      </c>
    </row>
    <row r="23" spans="1:11" ht="15.75" customHeight="1" x14ac:dyDescent="0.25">
      <c r="A23" s="88" t="s">
        <v>29</v>
      </c>
      <c r="B23" s="78">
        <v>5.85</v>
      </c>
      <c r="C23" s="78">
        <v>52.65</v>
      </c>
      <c r="D23" s="78">
        <v>5.15</v>
      </c>
      <c r="E23" s="78">
        <v>41.2</v>
      </c>
      <c r="F23" s="78"/>
      <c r="G23" s="78"/>
      <c r="H23" s="78"/>
      <c r="I23" s="78"/>
      <c r="J23" s="79">
        <f t="shared" si="0"/>
        <v>11</v>
      </c>
      <c r="K23" s="79">
        <f t="shared" si="0"/>
        <v>93.85</v>
      </c>
    </row>
    <row r="24" spans="1:11" ht="15.75" customHeight="1" x14ac:dyDescent="0.25">
      <c r="A24" s="86" t="s">
        <v>30</v>
      </c>
      <c r="B24" s="78">
        <v>1.087</v>
      </c>
      <c r="C24" s="78">
        <v>3.9620000000000002</v>
      </c>
      <c r="D24" s="78">
        <v>8.6</v>
      </c>
      <c r="E24" s="78">
        <v>40.892000000000003</v>
      </c>
      <c r="F24" s="78"/>
      <c r="G24" s="78"/>
      <c r="H24" s="78">
        <v>1.7809999999999999</v>
      </c>
      <c r="I24" s="78">
        <v>4.7460000000000004</v>
      </c>
      <c r="J24" s="79">
        <f t="shared" si="0"/>
        <v>11.468</v>
      </c>
      <c r="K24" s="79">
        <f t="shared" si="0"/>
        <v>49.600000000000009</v>
      </c>
    </row>
    <row r="25" spans="1:11" ht="15.75" customHeight="1" x14ac:dyDescent="0.25">
      <c r="A25" s="86" t="s">
        <v>31</v>
      </c>
      <c r="B25" s="78">
        <v>8</v>
      </c>
      <c r="C25" s="78">
        <v>25.6</v>
      </c>
      <c r="D25" s="78">
        <v>13.507999999999999</v>
      </c>
      <c r="E25" s="78">
        <v>40.43</v>
      </c>
      <c r="F25" s="78">
        <v>1.52</v>
      </c>
      <c r="G25" s="78">
        <v>4.8639999999999999</v>
      </c>
      <c r="H25" s="78">
        <v>2.2000000000000002</v>
      </c>
      <c r="I25" s="78">
        <v>6.8</v>
      </c>
      <c r="J25" s="79">
        <f t="shared" si="0"/>
        <v>25.227999999999998</v>
      </c>
      <c r="K25" s="79">
        <f t="shared" si="0"/>
        <v>77.694000000000003</v>
      </c>
    </row>
    <row r="26" spans="1:11" ht="17.25" customHeight="1" x14ac:dyDescent="0.25">
      <c r="A26" s="87" t="s">
        <v>32</v>
      </c>
      <c r="B26" s="78">
        <v>1.5</v>
      </c>
      <c r="C26" s="78">
        <v>12</v>
      </c>
      <c r="D26" s="78">
        <v>6</v>
      </c>
      <c r="E26" s="78">
        <v>54</v>
      </c>
      <c r="F26" s="78">
        <v>0.26</v>
      </c>
      <c r="G26" s="78">
        <v>2.08</v>
      </c>
      <c r="H26" s="78"/>
      <c r="I26" s="78"/>
      <c r="J26" s="79">
        <f t="shared" si="0"/>
        <v>7.76</v>
      </c>
      <c r="K26" s="79">
        <f t="shared" si="0"/>
        <v>68.08</v>
      </c>
    </row>
    <row r="27" spans="1:11" ht="15.75" customHeight="1" x14ac:dyDescent="0.25">
      <c r="A27" s="86" t="s">
        <v>189</v>
      </c>
      <c r="B27" s="78"/>
      <c r="C27" s="78"/>
      <c r="D27" s="78"/>
      <c r="E27" s="78"/>
      <c r="F27" s="78"/>
      <c r="G27" s="78"/>
      <c r="H27" s="78">
        <v>27.52</v>
      </c>
      <c r="I27" s="78">
        <v>268.01</v>
      </c>
      <c r="J27" s="79">
        <f t="shared" si="0"/>
        <v>27.52</v>
      </c>
      <c r="K27" s="79">
        <f t="shared" si="0"/>
        <v>268.01</v>
      </c>
    </row>
    <row r="28" spans="1:11" ht="15.75" customHeight="1" x14ac:dyDescent="0.25">
      <c r="A28" s="87" t="s">
        <v>167</v>
      </c>
      <c r="B28" s="78">
        <v>1.2999999999999999E-2</v>
      </c>
      <c r="C28" s="78">
        <v>0.104</v>
      </c>
      <c r="D28" s="78"/>
      <c r="E28" s="78"/>
      <c r="F28" s="78"/>
      <c r="G28" s="78"/>
      <c r="H28" s="78"/>
      <c r="I28" s="78"/>
      <c r="J28" s="79">
        <f t="shared" si="0"/>
        <v>1.2999999999999999E-2</v>
      </c>
      <c r="K28" s="79">
        <f t="shared" si="0"/>
        <v>0.104</v>
      </c>
    </row>
    <row r="29" spans="1:11" ht="15.75" customHeight="1" x14ac:dyDescent="0.25">
      <c r="A29" s="86" t="s">
        <v>33</v>
      </c>
      <c r="B29" s="78">
        <v>0.65</v>
      </c>
      <c r="C29" s="78">
        <v>4.95</v>
      </c>
      <c r="D29" s="78">
        <v>47.25</v>
      </c>
      <c r="E29" s="78">
        <v>1002.45</v>
      </c>
      <c r="F29" s="78">
        <v>2.79</v>
      </c>
      <c r="G29" s="78">
        <v>22.45</v>
      </c>
      <c r="H29" s="78"/>
      <c r="I29" s="78"/>
      <c r="J29" s="79">
        <f t="shared" si="0"/>
        <v>50.69</v>
      </c>
      <c r="K29" s="79">
        <f t="shared" si="0"/>
        <v>1029.8500000000001</v>
      </c>
    </row>
    <row r="30" spans="1:11" ht="15.75" customHeight="1" x14ac:dyDescent="0.25">
      <c r="A30" s="86" t="s">
        <v>34</v>
      </c>
      <c r="B30" s="78">
        <v>5.51</v>
      </c>
      <c r="C30" s="78">
        <v>31.71</v>
      </c>
      <c r="D30" s="78">
        <v>11.42</v>
      </c>
      <c r="E30" s="78">
        <v>266.51</v>
      </c>
      <c r="F30" s="78">
        <v>1.87</v>
      </c>
      <c r="G30" s="78">
        <v>16</v>
      </c>
      <c r="H30" s="78">
        <v>12.88</v>
      </c>
      <c r="I30" s="78">
        <v>189.92</v>
      </c>
      <c r="J30" s="79">
        <f t="shared" si="0"/>
        <v>31.68</v>
      </c>
      <c r="K30" s="79">
        <f t="shared" si="0"/>
        <v>504.14</v>
      </c>
    </row>
    <row r="31" spans="1:11" ht="15.75" customHeight="1" x14ac:dyDescent="0.25">
      <c r="A31" s="86" t="s">
        <v>35</v>
      </c>
      <c r="B31" s="78"/>
      <c r="C31" s="78"/>
      <c r="D31" s="78">
        <v>10.282</v>
      </c>
      <c r="E31" s="78">
        <v>16.855</v>
      </c>
      <c r="F31" s="78"/>
      <c r="G31" s="78"/>
      <c r="H31" s="78"/>
      <c r="I31" s="78"/>
      <c r="J31" s="79">
        <f t="shared" si="0"/>
        <v>10.282</v>
      </c>
      <c r="K31" s="79">
        <f t="shared" si="0"/>
        <v>16.855</v>
      </c>
    </row>
    <row r="32" spans="1:11" ht="15.75" customHeight="1" x14ac:dyDescent="0.25">
      <c r="A32" s="86" t="s">
        <v>36</v>
      </c>
      <c r="B32" s="78">
        <v>8.92</v>
      </c>
      <c r="C32" s="78">
        <v>22.15</v>
      </c>
      <c r="D32" s="78">
        <v>2.11</v>
      </c>
      <c r="E32" s="78">
        <v>4.12</v>
      </c>
      <c r="F32" s="78">
        <v>0.12</v>
      </c>
      <c r="G32" s="78">
        <v>3.84</v>
      </c>
      <c r="H32" s="78">
        <v>0.27</v>
      </c>
      <c r="I32" s="78">
        <v>9.59</v>
      </c>
      <c r="J32" s="79">
        <f t="shared" si="0"/>
        <v>11.419999999999998</v>
      </c>
      <c r="K32" s="79">
        <f t="shared" si="0"/>
        <v>39.700000000000003</v>
      </c>
    </row>
    <row r="33" spans="1:11" ht="15.75" customHeight="1" x14ac:dyDescent="0.25">
      <c r="A33" s="86"/>
      <c r="B33" s="78"/>
      <c r="C33" s="78"/>
      <c r="D33" s="78"/>
      <c r="E33" s="78"/>
      <c r="F33" s="78"/>
      <c r="G33" s="78"/>
      <c r="H33" s="78"/>
      <c r="I33" s="78"/>
      <c r="J33" s="79"/>
      <c r="K33" s="79"/>
    </row>
    <row r="34" spans="1:11" ht="15.75" customHeight="1" x14ac:dyDescent="0.25">
      <c r="A34" s="86" t="s">
        <v>37</v>
      </c>
      <c r="B34" s="78">
        <v>3.92</v>
      </c>
      <c r="C34" s="78">
        <v>18.55</v>
      </c>
      <c r="D34" s="78">
        <v>5.42</v>
      </c>
      <c r="E34" s="78">
        <v>28.5</v>
      </c>
      <c r="F34" s="78">
        <v>0.36</v>
      </c>
      <c r="G34" s="78">
        <v>1E-4</v>
      </c>
      <c r="H34" s="78"/>
      <c r="I34" s="78"/>
      <c r="J34" s="79">
        <f t="shared" si="0"/>
        <v>9.6999999999999993</v>
      </c>
      <c r="K34" s="79">
        <f t="shared" si="0"/>
        <v>47.0501</v>
      </c>
    </row>
    <row r="35" spans="1:11" ht="15" customHeight="1" x14ac:dyDescent="0.25">
      <c r="A35" s="86" t="s">
        <v>38</v>
      </c>
      <c r="B35" s="78">
        <v>0.56399999999999995</v>
      </c>
      <c r="C35" s="78">
        <v>1.6259999999999999</v>
      </c>
      <c r="D35" s="78"/>
      <c r="E35" s="78"/>
      <c r="F35" s="78"/>
      <c r="G35" s="78"/>
      <c r="H35" s="78"/>
      <c r="I35" s="78"/>
      <c r="J35" s="79">
        <f t="shared" si="0"/>
        <v>0.56399999999999995</v>
      </c>
      <c r="K35" s="79">
        <f t="shared" si="0"/>
        <v>1.6259999999999999</v>
      </c>
    </row>
    <row r="36" spans="1:11" ht="15.75" customHeight="1" x14ac:dyDescent="0.25">
      <c r="A36" s="86" t="s">
        <v>90</v>
      </c>
      <c r="B36" s="78"/>
      <c r="C36" s="78"/>
      <c r="D36" s="78"/>
      <c r="E36" s="78"/>
      <c r="F36" s="78"/>
      <c r="G36" s="78"/>
      <c r="H36" s="78">
        <v>27.965</v>
      </c>
      <c r="I36" s="78">
        <v>138.98599999999999</v>
      </c>
      <c r="J36" s="79">
        <f t="shared" si="0"/>
        <v>27.965</v>
      </c>
      <c r="K36" s="79">
        <f t="shared" si="0"/>
        <v>138.98599999999999</v>
      </c>
    </row>
    <row r="37" spans="1:11" ht="15.75" customHeight="1" x14ac:dyDescent="0.25">
      <c r="A37" s="86" t="s">
        <v>40</v>
      </c>
      <c r="B37" s="78"/>
      <c r="C37" s="78"/>
      <c r="D37" s="78">
        <v>3.88</v>
      </c>
      <c r="E37" s="78">
        <v>38.6</v>
      </c>
      <c r="F37" s="78"/>
      <c r="G37" s="78"/>
      <c r="H37" s="78">
        <v>8</v>
      </c>
      <c r="I37" s="78">
        <v>72.400000000000006</v>
      </c>
      <c r="J37" s="79">
        <f t="shared" si="0"/>
        <v>11.879999999999999</v>
      </c>
      <c r="K37" s="79">
        <f t="shared" si="0"/>
        <v>111</v>
      </c>
    </row>
    <row r="38" spans="1:11" ht="15.75" customHeight="1" x14ac:dyDescent="0.25">
      <c r="A38" s="86"/>
      <c r="B38" s="78"/>
      <c r="C38" s="78"/>
      <c r="D38" s="78"/>
      <c r="E38" s="78"/>
      <c r="F38" s="78"/>
      <c r="G38" s="78"/>
      <c r="H38" s="78"/>
      <c r="I38" s="78"/>
      <c r="J38" s="79"/>
      <c r="K38" s="79"/>
    </row>
    <row r="39" spans="1:11" ht="15.75" customHeight="1" x14ac:dyDescent="0.25">
      <c r="A39" s="86" t="s">
        <v>9</v>
      </c>
      <c r="B39" s="79">
        <f>SUM(B3:B38)</f>
        <v>258.46100000000001</v>
      </c>
      <c r="C39" s="79">
        <f t="shared" ref="C39:K39" si="1">SUM(C3:C38)</f>
        <v>2565.38</v>
      </c>
      <c r="D39" s="79">
        <f t="shared" si="1"/>
        <v>329.82300000000004</v>
      </c>
      <c r="E39" s="79">
        <f t="shared" si="1"/>
        <v>3109.0569999999998</v>
      </c>
      <c r="F39" s="79">
        <f t="shared" si="1"/>
        <v>325.899</v>
      </c>
      <c r="G39" s="79">
        <f t="shared" si="1"/>
        <v>3676.2460999999998</v>
      </c>
      <c r="H39" s="79">
        <f t="shared" si="1"/>
        <v>156.71799999999999</v>
      </c>
      <c r="I39" s="79">
        <f t="shared" si="1"/>
        <v>1133.5320000000002</v>
      </c>
      <c r="J39" s="79">
        <f t="shared" si="1"/>
        <v>1070.9009999999998</v>
      </c>
      <c r="K39" s="79">
        <f t="shared" si="1"/>
        <v>10484.215100000001</v>
      </c>
    </row>
    <row r="40" spans="1:11" ht="15.75" customHeight="1" x14ac:dyDescent="0.25">
      <c r="A40" s="283" t="s">
        <v>212</v>
      </c>
      <c r="B40" s="283"/>
      <c r="C40" s="283"/>
      <c r="D40" s="283"/>
    </row>
  </sheetData>
  <mergeCells count="6">
    <mergeCell ref="J1:K1"/>
    <mergeCell ref="A40:D40"/>
    <mergeCell ref="B1:C1"/>
    <mergeCell ref="D1:E1"/>
    <mergeCell ref="F1:G1"/>
    <mergeCell ref="H1:I1"/>
  </mergeCells>
  <printOptions horizontalCentered="1" verticalCentered="1"/>
  <pageMargins left="0.25" right="0.25" top="0.25" bottom="0.25" header="0.25" footer="0.25"/>
  <pageSetup scale="75" orientation="landscape" r:id="rId1"/>
  <headerFooter alignWithMargins="0">
    <oddHeader xml:space="preserve">&amp;C&amp;"Times New Roman,Bold"&amp;12&amp;UArea and Production of Citrus Crops 2013-14 (3rd Advance Estimates)&amp;R&amp;"Times New Roman,Bold"&amp;8Area in '000 Ha 
Prdouction in '000 MT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40"/>
  <sheetViews>
    <sheetView workbookViewId="0">
      <pane xSplit="1" ySplit="2" topLeftCell="B3" activePane="bottomRight" state="frozen"/>
      <selection sqref="A1:K2"/>
      <selection pane="topRight" sqref="A1:K2"/>
      <selection pane="bottomLeft" sqref="A1:K2"/>
      <selection pane="bottomRight" activeCell="B33" sqref="B33"/>
    </sheetView>
  </sheetViews>
  <sheetFormatPr defaultRowHeight="30.75" customHeight="1" x14ac:dyDescent="0.25"/>
  <cols>
    <col min="1" max="1" width="29.28515625" style="75" customWidth="1"/>
    <col min="2" max="5" width="9.7109375" style="75" customWidth="1"/>
    <col min="6" max="7" width="10.5703125" style="75" customWidth="1"/>
    <col min="8" max="9" width="11" style="75" customWidth="1"/>
    <col min="10" max="15" width="9.7109375" style="75" customWidth="1"/>
    <col min="16" max="16" width="10.28515625" style="75" customWidth="1"/>
    <col min="17" max="17" width="10.5703125" style="75" customWidth="1"/>
    <col min="18" max="21" width="9.7109375" style="75" customWidth="1"/>
    <col min="22" max="23" width="12.5703125" style="75" customWidth="1"/>
    <col min="24" max="25" width="10.42578125" style="75" customWidth="1"/>
    <col min="26" max="27" width="11.5703125" style="75" customWidth="1"/>
    <col min="28" max="29" width="9.7109375" style="75" customWidth="1"/>
    <col min="30" max="31" width="10.85546875" style="75" customWidth="1"/>
    <col min="32" max="33" width="9.7109375" style="75" customWidth="1"/>
    <col min="34" max="35" width="14.5703125" style="75" customWidth="1"/>
    <col min="36" max="37" width="11.28515625" style="75" customWidth="1"/>
    <col min="38" max="39" width="9.7109375" style="75" customWidth="1"/>
    <col min="40" max="41" width="10.5703125" style="75" customWidth="1"/>
    <col min="42" max="43" width="9.7109375" style="75" customWidth="1"/>
    <col min="44" max="47" width="11.42578125" style="75" customWidth="1"/>
    <col min="48" max="16384" width="9.140625" style="75"/>
  </cols>
  <sheetData>
    <row r="1" spans="1:54" ht="54.75" customHeight="1" x14ac:dyDescent="0.25">
      <c r="A1" s="74" t="s">
        <v>202</v>
      </c>
      <c r="B1" s="288" t="s">
        <v>112</v>
      </c>
      <c r="C1" s="288"/>
      <c r="D1" s="280" t="s">
        <v>187</v>
      </c>
      <c r="E1" s="280"/>
      <c r="F1" s="280" t="s">
        <v>188</v>
      </c>
      <c r="G1" s="280"/>
      <c r="H1" s="280" t="s">
        <v>41</v>
      </c>
      <c r="I1" s="280"/>
      <c r="J1" s="280" t="s">
        <v>42</v>
      </c>
      <c r="K1" s="280"/>
      <c r="L1" s="280" t="s">
        <v>113</v>
      </c>
      <c r="M1" s="280"/>
      <c r="N1" s="280" t="s">
        <v>114</v>
      </c>
      <c r="O1" s="280"/>
      <c r="P1" s="280" t="s">
        <v>115</v>
      </c>
      <c r="Q1" s="280"/>
      <c r="R1" s="280" t="s">
        <v>116</v>
      </c>
      <c r="S1" s="280"/>
      <c r="T1" s="280" t="s">
        <v>117</v>
      </c>
      <c r="U1" s="280"/>
      <c r="V1" s="280" t="s">
        <v>214</v>
      </c>
      <c r="W1" s="280"/>
      <c r="X1" s="280" t="s">
        <v>45</v>
      </c>
      <c r="Y1" s="280"/>
      <c r="Z1" s="284" t="s">
        <v>215</v>
      </c>
      <c r="AA1" s="280"/>
      <c r="AB1" s="280" t="s">
        <v>43</v>
      </c>
      <c r="AC1" s="280"/>
      <c r="AD1" s="280" t="s">
        <v>46</v>
      </c>
      <c r="AE1" s="280"/>
      <c r="AF1" s="280" t="s">
        <v>118</v>
      </c>
      <c r="AG1" s="280"/>
      <c r="AH1" s="280" t="s">
        <v>119</v>
      </c>
      <c r="AI1" s="280"/>
      <c r="AJ1" s="280" t="s">
        <v>120</v>
      </c>
      <c r="AK1" s="280"/>
      <c r="AL1" s="280" t="s">
        <v>47</v>
      </c>
      <c r="AM1" s="280"/>
      <c r="AN1" s="280" t="s">
        <v>44</v>
      </c>
      <c r="AO1" s="280"/>
      <c r="AP1" s="280" t="s">
        <v>121</v>
      </c>
      <c r="AQ1" s="280"/>
      <c r="AR1" s="280" t="s">
        <v>8</v>
      </c>
      <c r="AS1" s="280"/>
      <c r="AT1" s="280" t="s">
        <v>9</v>
      </c>
      <c r="AU1" s="280"/>
    </row>
    <row r="2" spans="1:54" s="89" customFormat="1" ht="20.25" customHeight="1" x14ac:dyDescent="0.25">
      <c r="A2" s="76"/>
      <c r="B2" s="74" t="s">
        <v>48</v>
      </c>
      <c r="C2" s="74" t="s">
        <v>10</v>
      </c>
      <c r="D2" s="74" t="s">
        <v>48</v>
      </c>
      <c r="E2" s="74" t="s">
        <v>10</v>
      </c>
      <c r="F2" s="74" t="s">
        <v>48</v>
      </c>
      <c r="G2" s="74" t="s">
        <v>10</v>
      </c>
      <c r="H2" s="74" t="s">
        <v>48</v>
      </c>
      <c r="I2" s="74" t="s">
        <v>10</v>
      </c>
      <c r="J2" s="74" t="s">
        <v>48</v>
      </c>
      <c r="K2" s="74" t="s">
        <v>10</v>
      </c>
      <c r="L2" s="74" t="s">
        <v>48</v>
      </c>
      <c r="M2" s="74" t="s">
        <v>10</v>
      </c>
      <c r="N2" s="74" t="s">
        <v>48</v>
      </c>
      <c r="O2" s="74" t="s">
        <v>10</v>
      </c>
      <c r="P2" s="74" t="s">
        <v>48</v>
      </c>
      <c r="Q2" s="74" t="s">
        <v>10</v>
      </c>
      <c r="R2" s="74" t="s">
        <v>48</v>
      </c>
      <c r="S2" s="74" t="s">
        <v>10</v>
      </c>
      <c r="T2" s="74" t="s">
        <v>48</v>
      </c>
      <c r="U2" s="74" t="s">
        <v>10</v>
      </c>
      <c r="V2" s="74" t="s">
        <v>48</v>
      </c>
      <c r="W2" s="74" t="s">
        <v>10</v>
      </c>
      <c r="X2" s="74" t="s">
        <v>48</v>
      </c>
      <c r="Y2" s="74" t="s">
        <v>10</v>
      </c>
      <c r="Z2" s="74" t="s">
        <v>48</v>
      </c>
      <c r="AA2" s="74" t="s">
        <v>10</v>
      </c>
      <c r="AB2" s="74" t="s">
        <v>48</v>
      </c>
      <c r="AC2" s="74" t="s">
        <v>10</v>
      </c>
      <c r="AD2" s="74" t="s">
        <v>48</v>
      </c>
      <c r="AE2" s="74" t="s">
        <v>10</v>
      </c>
      <c r="AF2" s="74" t="s">
        <v>48</v>
      </c>
      <c r="AG2" s="74" t="s">
        <v>10</v>
      </c>
      <c r="AH2" s="74" t="s">
        <v>48</v>
      </c>
      <c r="AI2" s="74" t="s">
        <v>10</v>
      </c>
      <c r="AJ2" s="74" t="s">
        <v>48</v>
      </c>
      <c r="AK2" s="74" t="s">
        <v>10</v>
      </c>
      <c r="AL2" s="74" t="s">
        <v>48</v>
      </c>
      <c r="AM2" s="74" t="s">
        <v>10</v>
      </c>
      <c r="AN2" s="74" t="s">
        <v>48</v>
      </c>
      <c r="AO2" s="74" t="s">
        <v>10</v>
      </c>
      <c r="AP2" s="74" t="s">
        <v>48</v>
      </c>
      <c r="AQ2" s="74" t="s">
        <v>10</v>
      </c>
      <c r="AR2" s="74" t="s">
        <v>48</v>
      </c>
      <c r="AS2" s="74" t="s">
        <v>10</v>
      </c>
      <c r="AT2" s="74" t="s">
        <v>48</v>
      </c>
      <c r="AU2" s="74" t="s">
        <v>10</v>
      </c>
    </row>
    <row r="3" spans="1:54" ht="20.25" customHeight="1" x14ac:dyDescent="0.25">
      <c r="A3" s="77" t="s">
        <v>11</v>
      </c>
      <c r="B3" s="78"/>
      <c r="C3" s="78"/>
      <c r="D3" s="78">
        <v>0.4</v>
      </c>
      <c r="E3" s="78">
        <v>1.7</v>
      </c>
      <c r="F3" s="78">
        <v>0.24</v>
      </c>
      <c r="G3" s="78">
        <v>1.1399999999999999</v>
      </c>
      <c r="H3" s="78">
        <v>0.56999999999999995</v>
      </c>
      <c r="I3" s="78">
        <v>3.29</v>
      </c>
      <c r="J3" s="78">
        <v>0.08</v>
      </c>
      <c r="K3" s="78">
        <v>1.25</v>
      </c>
      <c r="L3" s="78"/>
      <c r="M3" s="78"/>
      <c r="N3" s="78"/>
      <c r="O3" s="78"/>
      <c r="P3" s="78">
        <v>0.49</v>
      </c>
      <c r="Q3" s="78">
        <v>4.5999999999999996</v>
      </c>
      <c r="R3" s="78">
        <v>0.3</v>
      </c>
      <c r="S3" s="78">
        <v>1.61</v>
      </c>
      <c r="T3" s="78">
        <v>0.02</v>
      </c>
      <c r="U3" s="78">
        <v>0.31</v>
      </c>
      <c r="V3" s="78">
        <v>0.84</v>
      </c>
      <c r="W3" s="78">
        <v>4.57</v>
      </c>
      <c r="X3" s="90"/>
      <c r="Y3" s="90"/>
      <c r="Z3" s="78"/>
      <c r="AA3" s="78"/>
      <c r="AB3" s="78"/>
      <c r="AC3" s="78"/>
      <c r="AD3" s="90"/>
      <c r="AE3" s="90"/>
      <c r="AF3" s="78">
        <v>0.28000000000000003</v>
      </c>
      <c r="AG3" s="78">
        <v>1.52</v>
      </c>
      <c r="AH3" s="78">
        <v>0.3</v>
      </c>
      <c r="AI3" s="78">
        <v>2.02</v>
      </c>
      <c r="AJ3" s="78">
        <v>0.17</v>
      </c>
      <c r="AK3" s="78">
        <v>2.69</v>
      </c>
      <c r="AL3" s="78">
        <v>0.24</v>
      </c>
      <c r="AM3" s="78">
        <v>4.25</v>
      </c>
      <c r="AN3" s="78">
        <v>0.13</v>
      </c>
      <c r="AO3" s="78">
        <v>0.7</v>
      </c>
      <c r="AP3" s="78">
        <v>0.08</v>
      </c>
      <c r="AQ3" s="78">
        <v>1.65</v>
      </c>
      <c r="AR3" s="78">
        <f>2.52+0.23</f>
        <v>2.75</v>
      </c>
      <c r="AS3" s="78">
        <f>20.05+0.44</f>
        <v>20.490000000000002</v>
      </c>
      <c r="AT3" s="79">
        <f t="shared" ref="AT3:AT32" si="0">B3+D3+F3+H3+J3+L3+N3+P3+R3+T3+V3+X3+Z3+AB3+AD3+AF3+AH3+AJ3+AL3+AN3+AP3+AR3</f>
        <v>6.89</v>
      </c>
      <c r="AU3" s="79">
        <f t="shared" ref="AU3:AU32" si="1">C3+E3+G3+I3+K3+M3+O3+Q3+S3+U3+W3+Y3+AA3+AC3+AE3+AG3+AI3+AK3+AM3+AO3+AQ3+AS3</f>
        <v>51.79</v>
      </c>
      <c r="AV3" s="89"/>
      <c r="AW3" s="89"/>
      <c r="AX3" s="89"/>
      <c r="AY3" s="89"/>
      <c r="AZ3" s="89"/>
      <c r="BA3" s="89"/>
      <c r="BB3" s="89"/>
    </row>
    <row r="4" spans="1:54" ht="20.25" customHeight="1" x14ac:dyDescent="0.25">
      <c r="A4" s="77" t="s">
        <v>12</v>
      </c>
      <c r="B4" s="78">
        <v>20.202999999999999</v>
      </c>
      <c r="C4" s="78">
        <v>242.43899999999999</v>
      </c>
      <c r="D4" s="78">
        <v>24.82</v>
      </c>
      <c r="E4" s="78">
        <v>297.84199999999998</v>
      </c>
      <c r="F4" s="78">
        <v>23.184000000000001</v>
      </c>
      <c r="G4" s="78">
        <v>347.76</v>
      </c>
      <c r="H4" s="78">
        <v>83.600999999999999</v>
      </c>
      <c r="I4" s="78">
        <v>1672.029</v>
      </c>
      <c r="J4" s="78">
        <v>5.6210000000000004</v>
      </c>
      <c r="K4" s="78">
        <v>84.308999999999997</v>
      </c>
      <c r="L4" s="78"/>
      <c r="M4" s="78"/>
      <c r="N4" s="78">
        <v>10.448</v>
      </c>
      <c r="O4" s="78">
        <v>188.059</v>
      </c>
      <c r="P4" s="78">
        <v>1.446</v>
      </c>
      <c r="Q4" s="78">
        <v>21.689</v>
      </c>
      <c r="R4" s="78">
        <v>11.779</v>
      </c>
      <c r="S4" s="78">
        <v>235.572</v>
      </c>
      <c r="T4" s="78">
        <v>4.2450000000000001</v>
      </c>
      <c r="U4" s="78">
        <v>42.447000000000003</v>
      </c>
      <c r="V4" s="78">
        <v>76.864000000000004</v>
      </c>
      <c r="W4" s="78">
        <v>1152.963</v>
      </c>
      <c r="X4" s="91">
        <v>89.716999999999999</v>
      </c>
      <c r="Y4" s="91">
        <v>1525.182</v>
      </c>
      <c r="Z4" s="78"/>
      <c r="AA4" s="78"/>
      <c r="AB4" s="78">
        <v>3.0049999999999999</v>
      </c>
      <c r="AC4" s="78">
        <v>105.167</v>
      </c>
      <c r="AD4" s="91">
        <v>9.8130000000000006</v>
      </c>
      <c r="AE4" s="91">
        <v>196.262</v>
      </c>
      <c r="AF4" s="78">
        <v>3.44</v>
      </c>
      <c r="AG4" s="78">
        <v>68.793999999999997</v>
      </c>
      <c r="AH4" s="78"/>
      <c r="AI4" s="78"/>
      <c r="AJ4" s="78">
        <v>0.28899999999999998</v>
      </c>
      <c r="AK4" s="78">
        <v>5.7709999999999999</v>
      </c>
      <c r="AL4" s="78">
        <v>5.7949999999999999</v>
      </c>
      <c r="AM4" s="78">
        <v>115.90900000000001</v>
      </c>
      <c r="AN4" s="78">
        <v>270.07600000000002</v>
      </c>
      <c r="AO4" s="78">
        <v>5401.5209999999997</v>
      </c>
      <c r="AP4" s="78">
        <v>11.744999999999999</v>
      </c>
      <c r="AQ4" s="78">
        <v>176.17699999999999</v>
      </c>
      <c r="AR4" s="78">
        <v>54.216999999999999</v>
      </c>
      <c r="AS4" s="78">
        <v>542.16600000000005</v>
      </c>
      <c r="AT4" s="79">
        <f t="shared" si="0"/>
        <v>710.30799999999999</v>
      </c>
      <c r="AU4" s="79">
        <f t="shared" si="1"/>
        <v>12422.057999999999</v>
      </c>
    </row>
    <row r="5" spans="1:54" ht="20.25" customHeight="1" x14ac:dyDescent="0.25">
      <c r="A5" s="80" t="s">
        <v>111</v>
      </c>
      <c r="B5" s="78"/>
      <c r="C5" s="78"/>
      <c r="D5" s="78"/>
      <c r="E5" s="78"/>
      <c r="F5" s="78"/>
      <c r="G5" s="78"/>
      <c r="H5" s="78"/>
      <c r="I5" s="78"/>
      <c r="J5" s="78">
        <v>0.4</v>
      </c>
      <c r="K5" s="78">
        <v>11</v>
      </c>
      <c r="L5" s="78"/>
      <c r="M5" s="78"/>
      <c r="N5" s="78"/>
      <c r="O5" s="78"/>
      <c r="P5" s="78">
        <v>0.25</v>
      </c>
      <c r="Q5" s="78">
        <v>5.75</v>
      </c>
      <c r="R5" s="78"/>
      <c r="S5" s="78"/>
      <c r="T5" s="78"/>
      <c r="U5" s="78"/>
      <c r="V5" s="78"/>
      <c r="W5" s="78"/>
      <c r="X5" s="91"/>
      <c r="Y5" s="91"/>
      <c r="Z5" s="78"/>
      <c r="AA5" s="78"/>
      <c r="AB5" s="78"/>
      <c r="AC5" s="78"/>
      <c r="AD5" s="91"/>
      <c r="AE5" s="91"/>
      <c r="AF5" s="78"/>
      <c r="AG5" s="78"/>
      <c r="AH5" s="78"/>
      <c r="AI5" s="78"/>
      <c r="AJ5" s="78"/>
      <c r="AK5" s="78"/>
      <c r="AL5" s="78"/>
      <c r="AM5" s="78"/>
      <c r="AN5" s="78">
        <v>0.5</v>
      </c>
      <c r="AO5" s="78">
        <v>13.5</v>
      </c>
      <c r="AP5" s="78"/>
      <c r="AQ5" s="78"/>
      <c r="AR5" s="78">
        <v>0.25</v>
      </c>
      <c r="AS5" s="78">
        <v>4.75</v>
      </c>
      <c r="AT5" s="79">
        <f t="shared" si="0"/>
        <v>1.4</v>
      </c>
      <c r="AU5" s="79">
        <f t="shared" si="1"/>
        <v>35</v>
      </c>
    </row>
    <row r="6" spans="1:54" ht="20.25" customHeight="1" x14ac:dyDescent="0.25">
      <c r="A6" s="77" t="s">
        <v>14</v>
      </c>
      <c r="B6" s="78"/>
      <c r="C6" s="78"/>
      <c r="D6" s="78">
        <v>5.2720000000000002</v>
      </c>
      <c r="E6" s="78">
        <v>49.899000000000001</v>
      </c>
      <c r="F6" s="78"/>
      <c r="G6" s="78"/>
      <c r="H6" s="78">
        <v>16.977</v>
      </c>
      <c r="I6" s="78">
        <v>270.69799999999998</v>
      </c>
      <c r="J6" s="78">
        <v>31.884</v>
      </c>
      <c r="K6" s="78">
        <v>661.274</v>
      </c>
      <c r="L6" s="78"/>
      <c r="M6" s="78"/>
      <c r="N6" s="78">
        <v>4.258</v>
      </c>
      <c r="O6" s="78">
        <v>67.596000000000004</v>
      </c>
      <c r="P6" s="78">
        <v>21.925999999999998</v>
      </c>
      <c r="Q6" s="78">
        <v>454.416</v>
      </c>
      <c r="R6" s="78">
        <v>6.59</v>
      </c>
      <c r="S6" s="78">
        <v>65.043000000000006</v>
      </c>
      <c r="T6" s="78"/>
      <c r="U6" s="78"/>
      <c r="V6" s="78">
        <v>11.635</v>
      </c>
      <c r="W6" s="78">
        <v>170.976</v>
      </c>
      <c r="X6" s="91">
        <v>8.61</v>
      </c>
      <c r="Y6" s="91">
        <v>33.104999999999997</v>
      </c>
      <c r="Z6" s="78"/>
      <c r="AA6" s="78"/>
      <c r="AB6" s="78">
        <v>31.260999999999999</v>
      </c>
      <c r="AC6" s="78">
        <v>20.163</v>
      </c>
      <c r="AD6" s="91">
        <v>100.76900000000001</v>
      </c>
      <c r="AE6" s="91">
        <v>995.09400000000005</v>
      </c>
      <c r="AF6" s="78">
        <v>20.12</v>
      </c>
      <c r="AG6" s="78">
        <v>193.95699999999999</v>
      </c>
      <c r="AH6" s="78"/>
      <c r="AI6" s="78"/>
      <c r="AJ6" s="78">
        <v>9.7140000000000004</v>
      </c>
      <c r="AK6" s="78">
        <v>50.171999999999997</v>
      </c>
      <c r="AL6" s="78">
        <v>4.5199999999999996</v>
      </c>
      <c r="AM6" s="78">
        <v>39.188000000000002</v>
      </c>
      <c r="AN6" s="78">
        <v>17.466000000000001</v>
      </c>
      <c r="AO6" s="78">
        <v>408.35500000000002</v>
      </c>
      <c r="AP6" s="78"/>
      <c r="AQ6" s="78"/>
      <c r="AR6" s="78"/>
      <c r="AS6" s="78"/>
      <c r="AT6" s="79">
        <f t="shared" si="0"/>
        <v>291.00200000000001</v>
      </c>
      <c r="AU6" s="79">
        <f t="shared" si="1"/>
        <v>3479.9360000000001</v>
      </c>
    </row>
    <row r="7" spans="1:54" ht="20.25" customHeight="1" x14ac:dyDescent="0.25">
      <c r="A7" s="77" t="s">
        <v>15</v>
      </c>
      <c r="B7" s="78"/>
      <c r="C7" s="78"/>
      <c r="D7" s="78">
        <v>10.378</v>
      </c>
      <c r="E7" s="78">
        <v>81.242999999999995</v>
      </c>
      <c r="F7" s="78">
        <v>33.179000000000002</v>
      </c>
      <c r="G7" s="78">
        <v>789.654</v>
      </c>
      <c r="H7" s="78">
        <v>56.387</v>
      </c>
      <c r="I7" s="78">
        <v>1295.9829999999999</v>
      </c>
      <c r="J7" s="78">
        <v>39.932000000000002</v>
      </c>
      <c r="K7" s="78">
        <v>779.92499999999995</v>
      </c>
      <c r="L7" s="78"/>
      <c r="M7" s="78"/>
      <c r="N7" s="78">
        <v>4.9219999999999997</v>
      </c>
      <c r="O7" s="78">
        <v>60.835999999999999</v>
      </c>
      <c r="P7" s="78">
        <v>63.953000000000003</v>
      </c>
      <c r="Q7" s="78">
        <v>1202.9970000000001</v>
      </c>
      <c r="R7" s="78">
        <v>2.379</v>
      </c>
      <c r="S7" s="78">
        <v>27.748000000000001</v>
      </c>
      <c r="T7" s="78">
        <v>1.4119999999999999</v>
      </c>
      <c r="U7" s="78">
        <v>18.558</v>
      </c>
      <c r="V7" s="78">
        <v>59.515999999999998</v>
      </c>
      <c r="W7" s="78">
        <v>863.73199999999997</v>
      </c>
      <c r="X7" s="91">
        <v>54.337000000000003</v>
      </c>
      <c r="Y7" s="91">
        <v>1301.306</v>
      </c>
      <c r="Z7" s="78">
        <v>8.0210000000000008</v>
      </c>
      <c r="AA7" s="78">
        <v>117.84099999999999</v>
      </c>
      <c r="AB7" s="78">
        <v>10.266999999999999</v>
      </c>
      <c r="AC7" s="78">
        <v>81.043000000000006</v>
      </c>
      <c r="AD7" s="91">
        <v>318.45299999999997</v>
      </c>
      <c r="AE7" s="91">
        <v>6405.11</v>
      </c>
      <c r="AF7" s="78">
        <v>16.506</v>
      </c>
      <c r="AG7" s="78">
        <v>267.06700000000001</v>
      </c>
      <c r="AH7" s="78">
        <v>0.59099999999999997</v>
      </c>
      <c r="AI7" s="78">
        <v>8.6389999999999993</v>
      </c>
      <c r="AJ7" s="78">
        <v>0.47599999999999998</v>
      </c>
      <c r="AK7" s="78">
        <v>10.034000000000001</v>
      </c>
      <c r="AL7" s="78"/>
      <c r="AM7" s="78"/>
      <c r="AN7" s="78">
        <v>47.915999999999997</v>
      </c>
      <c r="AO7" s="78">
        <v>1061.77</v>
      </c>
      <c r="AP7" s="78">
        <v>1.593</v>
      </c>
      <c r="AQ7" s="78">
        <v>37.554000000000002</v>
      </c>
      <c r="AR7" s="78">
        <f>98.754+40.676+1.094</f>
        <v>140.524</v>
      </c>
      <c r="AS7" s="78">
        <f>502.941+48.733+1295.144</f>
        <v>1846.818</v>
      </c>
      <c r="AT7" s="79">
        <f t="shared" si="0"/>
        <v>870.74199999999996</v>
      </c>
      <c r="AU7" s="79">
        <f t="shared" si="1"/>
        <v>16257.857999999997</v>
      </c>
    </row>
    <row r="8" spans="1:54" ht="20.25" customHeight="1" x14ac:dyDescent="0.25">
      <c r="A8" s="77" t="s">
        <v>55</v>
      </c>
      <c r="B8" s="78">
        <v>5.98</v>
      </c>
      <c r="C8" s="78">
        <v>51.35</v>
      </c>
      <c r="D8" s="78">
        <v>9.11</v>
      </c>
      <c r="E8" s="78">
        <v>117.46</v>
      </c>
      <c r="F8" s="78">
        <v>11.53</v>
      </c>
      <c r="G8" s="78">
        <v>207.7</v>
      </c>
      <c r="H8" s="78">
        <v>33.07</v>
      </c>
      <c r="I8" s="78">
        <v>585.98</v>
      </c>
      <c r="J8" s="78">
        <v>18.59</v>
      </c>
      <c r="K8" s="78">
        <v>338.56</v>
      </c>
      <c r="L8" s="78"/>
      <c r="M8" s="78"/>
      <c r="N8" s="78">
        <v>1.23</v>
      </c>
      <c r="O8" s="78">
        <v>18.510000000000002</v>
      </c>
      <c r="P8" s="78">
        <v>21.43</v>
      </c>
      <c r="Q8" s="78">
        <v>395.77</v>
      </c>
      <c r="R8" s="78"/>
      <c r="S8" s="78"/>
      <c r="T8" s="78">
        <v>1.3</v>
      </c>
      <c r="U8" s="78">
        <v>10.220000000000001</v>
      </c>
      <c r="V8" s="78">
        <v>27.8</v>
      </c>
      <c r="W8" s="78">
        <v>430.63</v>
      </c>
      <c r="X8" s="91">
        <v>20.079999999999998</v>
      </c>
      <c r="Y8" s="91">
        <v>309.54000000000002</v>
      </c>
      <c r="Z8" s="78">
        <v>2.42</v>
      </c>
      <c r="AA8" s="78">
        <v>29.8</v>
      </c>
      <c r="AB8" s="78"/>
      <c r="AC8" s="78"/>
      <c r="AD8" s="91">
        <v>37.89</v>
      </c>
      <c r="AE8" s="91">
        <v>556.4</v>
      </c>
      <c r="AF8" s="78">
        <v>9.77</v>
      </c>
      <c r="AG8" s="78">
        <v>179.04</v>
      </c>
      <c r="AH8" s="78"/>
      <c r="AI8" s="78"/>
      <c r="AJ8" s="78">
        <v>3.37</v>
      </c>
      <c r="AK8" s="78">
        <v>35.770000000000003</v>
      </c>
      <c r="AL8" s="78"/>
      <c r="AM8" s="78"/>
      <c r="AN8" s="78">
        <v>50.38</v>
      </c>
      <c r="AO8" s="78">
        <v>814.22</v>
      </c>
      <c r="AP8" s="78">
        <v>2.08</v>
      </c>
      <c r="AQ8" s="78">
        <v>17.11</v>
      </c>
      <c r="AR8" s="78">
        <v>147.4</v>
      </c>
      <c r="AS8" s="78">
        <v>1367.86</v>
      </c>
      <c r="AT8" s="79">
        <f t="shared" si="0"/>
        <v>403.43000000000006</v>
      </c>
      <c r="AU8" s="79">
        <f t="shared" si="1"/>
        <v>5465.9199999999992</v>
      </c>
    </row>
    <row r="9" spans="1:54" s="89" customFormat="1" ht="20.25" customHeight="1" x14ac:dyDescent="0.25">
      <c r="A9" s="77" t="s">
        <v>16</v>
      </c>
      <c r="B9" s="78"/>
      <c r="C9" s="78"/>
      <c r="D9" s="78"/>
      <c r="E9" s="78"/>
      <c r="F9" s="78"/>
      <c r="G9" s="78"/>
      <c r="H9" s="78">
        <v>0.5</v>
      </c>
      <c r="I9" s="78">
        <v>2.2000000000000002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1"/>
      <c r="Y9" s="91"/>
      <c r="Z9" s="78"/>
      <c r="AA9" s="78"/>
      <c r="AB9" s="78"/>
      <c r="AC9" s="78"/>
      <c r="AD9" s="91"/>
      <c r="AE9" s="91"/>
      <c r="AF9" s="78"/>
      <c r="AG9" s="78"/>
      <c r="AH9" s="78"/>
      <c r="AI9" s="78"/>
      <c r="AJ9" s="78"/>
      <c r="AK9" s="78"/>
      <c r="AL9" s="78"/>
      <c r="AM9" s="78"/>
      <c r="AN9" s="78">
        <v>0.4</v>
      </c>
      <c r="AO9" s="78">
        <v>1.8</v>
      </c>
      <c r="AP9" s="78"/>
      <c r="AQ9" s="78"/>
      <c r="AR9" s="78">
        <v>0.2</v>
      </c>
      <c r="AS9" s="78">
        <v>1.5</v>
      </c>
      <c r="AT9" s="79">
        <f t="shared" si="0"/>
        <v>1.1000000000000001</v>
      </c>
      <c r="AU9" s="79">
        <f t="shared" si="1"/>
        <v>5.5</v>
      </c>
    </row>
    <row r="10" spans="1:54" ht="20.25" customHeight="1" x14ac:dyDescent="0.25">
      <c r="A10" s="77" t="s">
        <v>17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1"/>
      <c r="Y10" s="91"/>
      <c r="Z10" s="78"/>
      <c r="AA10" s="78"/>
      <c r="AB10" s="78"/>
      <c r="AC10" s="78"/>
      <c r="AD10" s="91"/>
      <c r="AE10" s="91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9">
        <f t="shared" si="0"/>
        <v>0</v>
      </c>
      <c r="AU10" s="79">
        <f t="shared" si="1"/>
        <v>0</v>
      </c>
    </row>
    <row r="11" spans="1:54" ht="20.25" customHeight="1" x14ac:dyDescent="0.25">
      <c r="A11" s="77" t="s">
        <v>18</v>
      </c>
      <c r="B11" s="78"/>
      <c r="C11" s="78"/>
      <c r="D11" s="78">
        <v>0.76600000000000001</v>
      </c>
      <c r="E11" s="78">
        <v>12.073</v>
      </c>
      <c r="F11" s="78">
        <v>1.226</v>
      </c>
      <c r="G11" s="78">
        <v>18.986999999999998</v>
      </c>
      <c r="H11" s="78">
        <v>1.121</v>
      </c>
      <c r="I11" s="78">
        <v>16.869</v>
      </c>
      <c r="J11" s="78"/>
      <c r="K11" s="78"/>
      <c r="L11" s="78"/>
      <c r="M11" s="78"/>
      <c r="N11" s="78">
        <v>1.1859999999999999</v>
      </c>
      <c r="O11" s="78">
        <v>25.776</v>
      </c>
      <c r="P11" s="78">
        <v>2.028</v>
      </c>
      <c r="Q11" s="78">
        <v>36.561</v>
      </c>
      <c r="R11" s="78">
        <v>0.64600000000000002</v>
      </c>
      <c r="S11" s="78">
        <v>8.7309999999999999</v>
      </c>
      <c r="T11" s="78"/>
      <c r="U11" s="78"/>
      <c r="V11" s="78">
        <v>0.93899999999999995</v>
      </c>
      <c r="W11" s="78">
        <v>14.097</v>
      </c>
      <c r="X11" s="91">
        <v>0.78100000000000003</v>
      </c>
      <c r="Y11" s="91">
        <v>17.067</v>
      </c>
      <c r="Z11" s="78"/>
      <c r="AA11" s="78"/>
      <c r="AB11" s="78">
        <v>4.3099999999999996</v>
      </c>
      <c r="AC11" s="78">
        <v>55.618000000000002</v>
      </c>
      <c r="AD11" s="91">
        <v>0.67800000000000005</v>
      </c>
      <c r="AE11" s="91">
        <v>15.72</v>
      </c>
      <c r="AF11" s="78">
        <v>2.464</v>
      </c>
      <c r="AG11" s="78">
        <v>41.110999999999997</v>
      </c>
      <c r="AH11" s="78"/>
      <c r="AI11" s="78"/>
      <c r="AJ11" s="78"/>
      <c r="AK11" s="78"/>
      <c r="AL11" s="78"/>
      <c r="AM11" s="78"/>
      <c r="AN11" s="78">
        <v>0.90900000000000003</v>
      </c>
      <c r="AO11" s="78">
        <v>14.198</v>
      </c>
      <c r="AP11" s="78"/>
      <c r="AQ11" s="78"/>
      <c r="AR11" s="78">
        <v>10.242000000000001</v>
      </c>
      <c r="AS11" s="78">
        <v>160.13999999999999</v>
      </c>
      <c r="AT11" s="79">
        <f t="shared" si="0"/>
        <v>27.295999999999999</v>
      </c>
      <c r="AU11" s="79">
        <f t="shared" si="1"/>
        <v>436.94799999999998</v>
      </c>
    </row>
    <row r="12" spans="1:54" ht="20.25" customHeight="1" x14ac:dyDescent="0.25">
      <c r="A12" s="77" t="s">
        <v>19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91"/>
      <c r="Y12" s="91"/>
      <c r="Z12" s="78"/>
      <c r="AA12" s="78"/>
      <c r="AB12" s="78"/>
      <c r="AC12" s="78"/>
      <c r="AD12" s="91"/>
      <c r="AE12" s="91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>
        <v>7.0039999999999996</v>
      </c>
      <c r="AS12" s="78">
        <v>79.92</v>
      </c>
      <c r="AT12" s="79">
        <f t="shared" si="0"/>
        <v>7.0039999999999996</v>
      </c>
      <c r="AU12" s="79">
        <f t="shared" si="1"/>
        <v>79.92</v>
      </c>
    </row>
    <row r="13" spans="1:54" ht="20.25" customHeight="1" x14ac:dyDescent="0.25">
      <c r="A13" s="77" t="s">
        <v>20</v>
      </c>
      <c r="B13" s="78"/>
      <c r="C13" s="78"/>
      <c r="D13" s="78"/>
      <c r="E13" s="78"/>
      <c r="F13" s="78"/>
      <c r="G13" s="78"/>
      <c r="H13" s="78">
        <v>76.75</v>
      </c>
      <c r="I13" s="78">
        <v>1341.05</v>
      </c>
      <c r="J13" s="78">
        <v>30.92</v>
      </c>
      <c r="K13" s="78">
        <v>663.53</v>
      </c>
      <c r="L13" s="78"/>
      <c r="M13" s="78"/>
      <c r="N13" s="78"/>
      <c r="O13" s="78"/>
      <c r="P13" s="78">
        <v>28.62</v>
      </c>
      <c r="Q13" s="78">
        <v>532.28</v>
      </c>
      <c r="R13" s="78"/>
      <c r="S13" s="78"/>
      <c r="T13" s="78"/>
      <c r="U13" s="78"/>
      <c r="V13" s="78">
        <v>65.66</v>
      </c>
      <c r="W13" s="78">
        <v>723.33</v>
      </c>
      <c r="X13" s="91">
        <v>72.599999999999994</v>
      </c>
      <c r="Y13" s="91">
        <v>1798.3019999999999</v>
      </c>
      <c r="Z13" s="78"/>
      <c r="AA13" s="78"/>
      <c r="AB13" s="78"/>
      <c r="AC13" s="78"/>
      <c r="AD13" s="91">
        <v>73.599999999999994</v>
      </c>
      <c r="AE13" s="91">
        <v>2189.6</v>
      </c>
      <c r="AF13" s="78"/>
      <c r="AG13" s="78"/>
      <c r="AH13" s="78"/>
      <c r="AI13" s="78"/>
      <c r="AJ13" s="78"/>
      <c r="AK13" s="78"/>
      <c r="AL13" s="78"/>
      <c r="AM13" s="78"/>
      <c r="AN13" s="78">
        <v>44</v>
      </c>
      <c r="AO13" s="78">
        <v>1156.72</v>
      </c>
      <c r="AP13" s="78"/>
      <c r="AQ13" s="78"/>
      <c r="AR13" s="78">
        <v>181.57</v>
      </c>
      <c r="AS13" s="78">
        <v>2899.67</v>
      </c>
      <c r="AT13" s="79">
        <f t="shared" si="0"/>
        <v>573.72</v>
      </c>
      <c r="AU13" s="79">
        <f t="shared" si="1"/>
        <v>11304.481999999998</v>
      </c>
    </row>
    <row r="14" spans="1:54" ht="20.25" customHeight="1" x14ac:dyDescent="0.25">
      <c r="A14" s="77" t="s">
        <v>21</v>
      </c>
      <c r="B14" s="78"/>
      <c r="C14" s="78"/>
      <c r="D14" s="78"/>
      <c r="E14" s="78"/>
      <c r="F14" s="78"/>
      <c r="G14" s="78"/>
      <c r="H14" s="78">
        <v>19</v>
      </c>
      <c r="I14" s="78">
        <v>409.58</v>
      </c>
      <c r="J14" s="78">
        <v>14.8</v>
      </c>
      <c r="K14" s="78">
        <v>241.13</v>
      </c>
      <c r="L14" s="78"/>
      <c r="M14" s="78"/>
      <c r="N14" s="78">
        <v>17.86</v>
      </c>
      <c r="O14" s="78">
        <v>274.08999999999997</v>
      </c>
      <c r="P14" s="78">
        <v>30.3</v>
      </c>
      <c r="Q14" s="78">
        <v>530.49</v>
      </c>
      <c r="R14" s="78"/>
      <c r="S14" s="78"/>
      <c r="T14" s="78"/>
      <c r="U14" s="78"/>
      <c r="V14" s="78">
        <v>23.48</v>
      </c>
      <c r="W14" s="78">
        <v>163.30000000000001</v>
      </c>
      <c r="X14" s="91">
        <v>30.16</v>
      </c>
      <c r="Y14" s="91">
        <v>672.17</v>
      </c>
      <c r="Z14" s="78"/>
      <c r="AA14" s="78"/>
      <c r="AB14" s="78">
        <v>15.4</v>
      </c>
      <c r="AC14" s="78">
        <v>107.82</v>
      </c>
      <c r="AD14" s="91">
        <v>29.97</v>
      </c>
      <c r="AE14" s="91">
        <v>696.51</v>
      </c>
      <c r="AF14" s="78">
        <v>29.39</v>
      </c>
      <c r="AG14" s="78">
        <v>447.73</v>
      </c>
      <c r="AH14" s="78"/>
      <c r="AI14" s="78"/>
      <c r="AJ14" s="78"/>
      <c r="AK14" s="78"/>
      <c r="AL14" s="78"/>
      <c r="AM14" s="78"/>
      <c r="AN14" s="78">
        <v>29.42</v>
      </c>
      <c r="AO14" s="78">
        <v>641.98</v>
      </c>
      <c r="AP14" s="78"/>
      <c r="AQ14" s="78"/>
      <c r="AR14" s="78">
        <f>16.84+67.38+1.01+32.13+16.03</f>
        <v>133.39000000000001</v>
      </c>
      <c r="AS14" s="78">
        <f>97.1+742.33+5.05+366.61+167.45</f>
        <v>1378.5400000000002</v>
      </c>
      <c r="AT14" s="79">
        <f t="shared" si="0"/>
        <v>373.17000000000007</v>
      </c>
      <c r="AU14" s="79">
        <f t="shared" si="1"/>
        <v>5563.34</v>
      </c>
    </row>
    <row r="15" spans="1:54" ht="20.25" customHeight="1" x14ac:dyDescent="0.25">
      <c r="A15" s="77" t="s">
        <v>22</v>
      </c>
      <c r="B15" s="78">
        <v>3.4359999999999999</v>
      </c>
      <c r="C15" s="78">
        <v>40.878999999999998</v>
      </c>
      <c r="D15" s="78"/>
      <c r="E15" s="78"/>
      <c r="F15" s="78"/>
      <c r="G15" s="78"/>
      <c r="H15" s="78">
        <v>1.0880000000000001</v>
      </c>
      <c r="I15" s="78">
        <v>23.518000000000001</v>
      </c>
      <c r="J15" s="78">
        <v>4.3869999999999996</v>
      </c>
      <c r="K15" s="78">
        <v>149.67099999999999</v>
      </c>
      <c r="L15" s="78">
        <v>2.0720000000000001</v>
      </c>
      <c r="M15" s="78">
        <v>34.131999999999998</v>
      </c>
      <c r="N15" s="78">
        <v>0.26700000000000002</v>
      </c>
      <c r="O15" s="78">
        <v>4.8540000000000001</v>
      </c>
      <c r="P15" s="78">
        <v>4.351</v>
      </c>
      <c r="Q15" s="78">
        <v>101.71</v>
      </c>
      <c r="R15" s="78"/>
      <c r="S15" s="78"/>
      <c r="T15" s="78"/>
      <c r="U15" s="78"/>
      <c r="V15" s="78">
        <v>2.5219999999999998</v>
      </c>
      <c r="W15" s="78">
        <v>30.344000000000001</v>
      </c>
      <c r="X15" s="91">
        <v>2.2679999999999998</v>
      </c>
      <c r="Y15" s="91">
        <v>39.362000000000002</v>
      </c>
      <c r="Z15" s="78"/>
      <c r="AA15" s="78"/>
      <c r="AB15" s="78">
        <v>23.667999999999999</v>
      </c>
      <c r="AC15" s="78">
        <v>280.23099999999999</v>
      </c>
      <c r="AD15" s="91">
        <v>14.43</v>
      </c>
      <c r="AE15" s="91">
        <v>180.566</v>
      </c>
      <c r="AF15" s="78">
        <v>1.4910000000000001</v>
      </c>
      <c r="AG15" s="78">
        <v>30.899000000000001</v>
      </c>
      <c r="AH15" s="78"/>
      <c r="AI15" s="78"/>
      <c r="AJ15" s="78"/>
      <c r="AK15" s="78"/>
      <c r="AL15" s="78"/>
      <c r="AM15" s="78"/>
      <c r="AN15" s="78">
        <v>9.93</v>
      </c>
      <c r="AO15" s="78">
        <v>413.709</v>
      </c>
      <c r="AP15" s="78"/>
      <c r="AQ15" s="78"/>
      <c r="AR15" s="78">
        <v>9.0759999999999987</v>
      </c>
      <c r="AS15" s="78">
        <v>184.55700000000002</v>
      </c>
      <c r="AT15" s="79">
        <f t="shared" si="0"/>
        <v>78.98599999999999</v>
      </c>
      <c r="AU15" s="79">
        <f t="shared" si="1"/>
        <v>1514.432</v>
      </c>
    </row>
    <row r="16" spans="1:54" ht="20.25" customHeight="1" x14ac:dyDescent="0.25">
      <c r="A16" s="77" t="s">
        <v>222</v>
      </c>
      <c r="B16" s="78">
        <v>1.7830000000000001</v>
      </c>
      <c r="C16" s="78">
        <v>32.681999999999995</v>
      </c>
      <c r="D16" s="78">
        <v>0.627</v>
      </c>
      <c r="E16" s="78">
        <v>10.14</v>
      </c>
      <c r="F16" s="78">
        <v>1.597</v>
      </c>
      <c r="G16" s="78">
        <v>36.167999999999999</v>
      </c>
      <c r="H16" s="78">
        <v>2.0230000000000001</v>
      </c>
      <c r="I16" s="78">
        <v>45.237000000000002</v>
      </c>
      <c r="J16" s="78">
        <v>2.488</v>
      </c>
      <c r="K16" s="78">
        <v>73.225999999999999</v>
      </c>
      <c r="L16" s="78">
        <v>1.0489999999999999</v>
      </c>
      <c r="M16" s="78">
        <v>23.158999999999999</v>
      </c>
      <c r="N16" s="78">
        <v>1.35</v>
      </c>
      <c r="O16" s="78">
        <v>33.332999999999998</v>
      </c>
      <c r="P16" s="78">
        <v>3.254</v>
      </c>
      <c r="Q16" s="78">
        <v>85.262</v>
      </c>
      <c r="R16" s="78">
        <v>1.6419999999999999</v>
      </c>
      <c r="S16" s="78">
        <v>64.507999999999996</v>
      </c>
      <c r="T16" s="78">
        <v>0.13</v>
      </c>
      <c r="U16" s="78">
        <v>2.9020000000000001</v>
      </c>
      <c r="V16" s="78">
        <v>2.5169999999999999</v>
      </c>
      <c r="W16" s="78">
        <v>42.99</v>
      </c>
      <c r="X16" s="91">
        <v>2.8450000000000002</v>
      </c>
      <c r="Y16" s="91">
        <v>65.266000000000005</v>
      </c>
      <c r="Z16" s="78"/>
      <c r="AA16" s="78"/>
      <c r="AB16" s="78">
        <v>2.7930000000000001</v>
      </c>
      <c r="AC16" s="78">
        <v>58.081000000000003</v>
      </c>
      <c r="AD16" s="91">
        <v>6.9089999999999998</v>
      </c>
      <c r="AE16" s="91">
        <v>127.244</v>
      </c>
      <c r="AF16" s="78">
        <v>3.63</v>
      </c>
      <c r="AG16" s="78">
        <v>81.444999999999993</v>
      </c>
      <c r="AH16" s="78">
        <v>0.629</v>
      </c>
      <c r="AI16" s="78">
        <v>15.702</v>
      </c>
      <c r="AJ16" s="78"/>
      <c r="AK16" s="78"/>
      <c r="AL16" s="78"/>
      <c r="AM16" s="78"/>
      <c r="AN16" s="78">
        <v>3.5760000000000001</v>
      </c>
      <c r="AO16" s="78">
        <v>88.084999999999994</v>
      </c>
      <c r="AP16" s="78">
        <v>0.29699999999999999</v>
      </c>
      <c r="AQ16" s="78">
        <v>6.2050000000000001</v>
      </c>
      <c r="AR16" s="78">
        <v>23.918000000000003</v>
      </c>
      <c r="AS16" s="78">
        <v>503.83699999999999</v>
      </c>
      <c r="AT16" s="79">
        <f t="shared" si="0"/>
        <v>63.056999999999988</v>
      </c>
      <c r="AU16" s="79">
        <f t="shared" si="1"/>
        <v>1395.4720000000002</v>
      </c>
    </row>
    <row r="17" spans="1:47" ht="20.25" customHeight="1" x14ac:dyDescent="0.25">
      <c r="A17" s="77" t="s">
        <v>24</v>
      </c>
      <c r="B17" s="78">
        <v>13.07</v>
      </c>
      <c r="C17" s="78">
        <v>202.6</v>
      </c>
      <c r="D17" s="78">
        <v>0.67</v>
      </c>
      <c r="E17" s="78">
        <v>6.05</v>
      </c>
      <c r="F17" s="78">
        <v>0.37</v>
      </c>
      <c r="G17" s="78">
        <v>5.43</v>
      </c>
      <c r="H17" s="78">
        <v>21.202000000000002</v>
      </c>
      <c r="I17" s="78">
        <v>272.45999999999998</v>
      </c>
      <c r="J17" s="78">
        <v>30.18</v>
      </c>
      <c r="K17" s="78">
        <v>471.3</v>
      </c>
      <c r="L17" s="78">
        <v>18.579999999999998</v>
      </c>
      <c r="M17" s="78">
        <v>17.3</v>
      </c>
      <c r="N17" s="78">
        <v>0.65</v>
      </c>
      <c r="O17" s="78">
        <v>6.97</v>
      </c>
      <c r="P17" s="78">
        <v>23.126999999999999</v>
      </c>
      <c r="Q17" s="78">
        <v>364.5</v>
      </c>
      <c r="R17" s="78">
        <v>0.37</v>
      </c>
      <c r="S17" s="78">
        <v>25.7</v>
      </c>
      <c r="T17" s="78"/>
      <c r="U17" s="78"/>
      <c r="V17" s="78">
        <v>32.526000000000003</v>
      </c>
      <c r="W17" s="78">
        <v>447.40600000000001</v>
      </c>
      <c r="X17" s="91">
        <v>16.22</v>
      </c>
      <c r="Y17" s="91">
        <v>320.52999999999997</v>
      </c>
      <c r="Z17" s="78"/>
      <c r="AA17" s="78"/>
      <c r="AB17" s="78">
        <v>24.137</v>
      </c>
      <c r="AC17" s="78">
        <v>359.28</v>
      </c>
      <c r="AD17" s="91">
        <v>49.056699999999999</v>
      </c>
      <c r="AE17" s="91">
        <v>653.12400000000002</v>
      </c>
      <c r="AF17" s="78">
        <v>0.41</v>
      </c>
      <c r="AG17" s="78">
        <v>7.0259999999999998</v>
      </c>
      <c r="AH17" s="78">
        <v>1.347</v>
      </c>
      <c r="AI17" s="78">
        <v>25.535</v>
      </c>
      <c r="AJ17" s="78"/>
      <c r="AK17" s="78"/>
      <c r="AL17" s="78"/>
      <c r="AM17" s="78"/>
      <c r="AN17" s="78">
        <v>26.39</v>
      </c>
      <c r="AO17" s="78">
        <v>251.44</v>
      </c>
      <c r="AP17" s="78"/>
      <c r="AQ17" s="78"/>
      <c r="AR17" s="78">
        <f>34.154+21.15</f>
        <v>55.304000000000002</v>
      </c>
      <c r="AS17" s="78">
        <f>516.333+285.15</f>
        <v>801.48299999999995</v>
      </c>
      <c r="AT17" s="79">
        <f t="shared" si="0"/>
        <v>313.60969999999998</v>
      </c>
      <c r="AU17" s="79">
        <f t="shared" si="1"/>
        <v>4238.1339999999991</v>
      </c>
    </row>
    <row r="18" spans="1:47" ht="20.25" customHeight="1" x14ac:dyDescent="0.25">
      <c r="A18" s="77" t="s">
        <v>25</v>
      </c>
      <c r="B18" s="78">
        <v>12.7</v>
      </c>
      <c r="C18" s="78">
        <v>132.19999999999999</v>
      </c>
      <c r="D18" s="78">
        <v>3.1</v>
      </c>
      <c r="E18" s="78">
        <v>34.1</v>
      </c>
      <c r="F18" s="78">
        <v>0.6</v>
      </c>
      <c r="G18" s="78">
        <v>7.6</v>
      </c>
      <c r="H18" s="78">
        <v>15.8</v>
      </c>
      <c r="I18" s="78">
        <v>402.5</v>
      </c>
      <c r="J18" s="78">
        <v>10</v>
      </c>
      <c r="K18" s="78">
        <v>212.8</v>
      </c>
      <c r="L18" s="78">
        <v>3.2</v>
      </c>
      <c r="M18" s="78">
        <v>49.1</v>
      </c>
      <c r="N18" s="78">
        <v>4.8</v>
      </c>
      <c r="O18" s="78">
        <v>90.7</v>
      </c>
      <c r="P18" s="78">
        <v>4.9000000000000004</v>
      </c>
      <c r="Q18" s="78">
        <v>84.9</v>
      </c>
      <c r="R18" s="78">
        <v>6.8</v>
      </c>
      <c r="S18" s="78">
        <v>107.6</v>
      </c>
      <c r="T18" s="78">
        <v>0.8</v>
      </c>
      <c r="U18" s="78">
        <v>13</v>
      </c>
      <c r="V18" s="78">
        <v>9.3000000000000007</v>
      </c>
      <c r="W18" s="78">
        <v>77.099999999999994</v>
      </c>
      <c r="X18" s="78">
        <v>136.6</v>
      </c>
      <c r="Y18" s="78">
        <v>2065.1999999999998</v>
      </c>
      <c r="Z18" s="78"/>
      <c r="AA18" s="78"/>
      <c r="AB18" s="78">
        <v>1.4</v>
      </c>
      <c r="AC18" s="78">
        <v>20</v>
      </c>
      <c r="AD18" s="91">
        <v>40.700000000000003</v>
      </c>
      <c r="AE18" s="91">
        <v>539.70000000000005</v>
      </c>
      <c r="AF18" s="78">
        <v>5.7</v>
      </c>
      <c r="AG18" s="78">
        <v>63</v>
      </c>
      <c r="AH18" s="78">
        <v>2.4</v>
      </c>
      <c r="AI18" s="78">
        <v>55.8</v>
      </c>
      <c r="AJ18" s="78">
        <v>2.2999999999999998</v>
      </c>
      <c r="AK18" s="78">
        <v>34.200000000000003</v>
      </c>
      <c r="AL18" s="78">
        <v>1.2</v>
      </c>
      <c r="AM18" s="78">
        <v>13.5</v>
      </c>
      <c r="AN18" s="78">
        <v>61</v>
      </c>
      <c r="AO18" s="78">
        <v>2068.4</v>
      </c>
      <c r="AP18" s="78">
        <v>9.5</v>
      </c>
      <c r="AQ18" s="78">
        <v>317.3</v>
      </c>
      <c r="AR18" s="78">
        <f>41.8+43.7+0.5</f>
        <v>86</v>
      </c>
      <c r="AS18" s="78">
        <f>494.1+596.1+21.8</f>
        <v>1112</v>
      </c>
      <c r="AT18" s="79">
        <f t="shared" si="0"/>
        <v>418.79999999999995</v>
      </c>
      <c r="AU18" s="79">
        <f t="shared" si="1"/>
        <v>7500.7</v>
      </c>
    </row>
    <row r="19" spans="1:47" ht="20.25" customHeight="1" x14ac:dyDescent="0.25">
      <c r="A19" s="77" t="s">
        <v>26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91"/>
      <c r="Y19" s="91"/>
      <c r="Z19" s="78"/>
      <c r="AA19" s="78"/>
      <c r="AB19" s="78"/>
      <c r="AC19" s="78"/>
      <c r="AD19" s="91">
        <v>0.26800000000000002</v>
      </c>
      <c r="AE19" s="91">
        <v>4.1059999999999999</v>
      </c>
      <c r="AF19" s="78"/>
      <c r="AG19" s="78"/>
      <c r="AH19" s="78"/>
      <c r="AI19" s="78"/>
      <c r="AJ19" s="78">
        <v>0.247</v>
      </c>
      <c r="AK19" s="78">
        <v>4.1589999999999998</v>
      </c>
      <c r="AL19" s="78">
        <v>69.584000000000003</v>
      </c>
      <c r="AM19" s="78">
        <v>2458.5149999999999</v>
      </c>
      <c r="AN19" s="78"/>
      <c r="AO19" s="78"/>
      <c r="AP19" s="78"/>
      <c r="AQ19" s="78"/>
      <c r="AR19" s="78">
        <v>75.900000000000006</v>
      </c>
      <c r="AS19" s="78">
        <v>978.8</v>
      </c>
      <c r="AT19" s="79">
        <f t="shared" si="0"/>
        <v>145.99900000000002</v>
      </c>
      <c r="AU19" s="79">
        <f t="shared" si="1"/>
        <v>3445.58</v>
      </c>
    </row>
    <row r="20" spans="1:47" ht="20.25" customHeight="1" x14ac:dyDescent="0.25">
      <c r="A20" s="77" t="s">
        <v>56</v>
      </c>
      <c r="B20" s="78">
        <v>2.8000000000000001E-2</v>
      </c>
      <c r="C20" s="78">
        <v>2.92E-2</v>
      </c>
      <c r="D20" s="78">
        <v>1.4E-2</v>
      </c>
      <c r="E20" s="78">
        <v>1.5E-3</v>
      </c>
      <c r="F20" s="78">
        <v>1.2999999999999999E-2</v>
      </c>
      <c r="G20" s="78">
        <v>1.9400000000000001E-3</v>
      </c>
      <c r="H20" s="78">
        <v>0.02</v>
      </c>
      <c r="I20" s="78">
        <v>2.8000000000000001E-2</v>
      </c>
      <c r="J20" s="78"/>
      <c r="K20" s="78"/>
      <c r="L20" s="78">
        <v>5.0000000000000001E-3</v>
      </c>
      <c r="M20" s="78">
        <v>3.0000000000000001E-3</v>
      </c>
      <c r="N20" s="78"/>
      <c r="O20" s="78"/>
      <c r="P20" s="78"/>
      <c r="Q20" s="78"/>
      <c r="R20" s="78">
        <v>0.04</v>
      </c>
      <c r="S20" s="78">
        <v>4.9500000000000004E-3</v>
      </c>
      <c r="T20" s="78"/>
      <c r="U20" s="78"/>
      <c r="V20" s="78"/>
      <c r="W20" s="78"/>
      <c r="X20" s="91"/>
      <c r="Y20" s="91"/>
      <c r="Z20" s="78"/>
      <c r="AA20" s="78"/>
      <c r="AB20" s="78">
        <v>0.01</v>
      </c>
      <c r="AC20" s="78">
        <v>1.1950000000000001E-2</v>
      </c>
      <c r="AD20" s="91"/>
      <c r="AE20" s="91"/>
      <c r="AF20" s="78"/>
      <c r="AG20" s="78"/>
      <c r="AH20" s="78">
        <v>1.7999999999999999E-2</v>
      </c>
      <c r="AI20" s="78">
        <v>1.7000000000000001E-2</v>
      </c>
      <c r="AJ20" s="78">
        <v>3.3000000000000002E-2</v>
      </c>
      <c r="AK20" s="78">
        <v>0.125</v>
      </c>
      <c r="AL20" s="78">
        <v>0.02</v>
      </c>
      <c r="AM20" s="78">
        <v>6.5000000000000002E-2</v>
      </c>
      <c r="AN20" s="78">
        <v>1.0999999999999999E-2</v>
      </c>
      <c r="AO20" s="78">
        <v>1.2E-2</v>
      </c>
      <c r="AP20" s="78">
        <v>8.0000000000000002E-3</v>
      </c>
      <c r="AQ20" s="78">
        <v>9.4000000000000004E-3</v>
      </c>
      <c r="AR20" s="78">
        <v>3.0500000000000003E-2</v>
      </c>
      <c r="AS20" s="78">
        <v>2.1650000000000003E-2</v>
      </c>
      <c r="AT20" s="79">
        <f t="shared" si="0"/>
        <v>0.2505</v>
      </c>
      <c r="AU20" s="79">
        <f t="shared" si="1"/>
        <v>0.33059000000000005</v>
      </c>
    </row>
    <row r="21" spans="1:47" ht="20.25" customHeight="1" x14ac:dyDescent="0.25">
      <c r="A21" s="77" t="s">
        <v>27</v>
      </c>
      <c r="B21" s="78"/>
      <c r="C21" s="78"/>
      <c r="D21" s="78">
        <v>8.4540000000000006</v>
      </c>
      <c r="E21" s="78">
        <v>74.599999999999994</v>
      </c>
      <c r="F21" s="78">
        <v>12.544</v>
      </c>
      <c r="G21" s="78">
        <v>241.5</v>
      </c>
      <c r="H21" s="78">
        <v>42.738</v>
      </c>
      <c r="I21" s="78">
        <v>1067</v>
      </c>
      <c r="J21" s="78">
        <v>19.664999999999999</v>
      </c>
      <c r="K21" s="78">
        <v>578.29999999999995</v>
      </c>
      <c r="L21" s="78"/>
      <c r="M21" s="78"/>
      <c r="N21" s="78">
        <v>1.859</v>
      </c>
      <c r="O21" s="78">
        <v>31.6</v>
      </c>
      <c r="P21" s="78">
        <v>25.047000000000001</v>
      </c>
      <c r="Q21" s="78">
        <v>703.8</v>
      </c>
      <c r="R21" s="78">
        <v>2.121</v>
      </c>
      <c r="S21" s="78">
        <v>32.6</v>
      </c>
      <c r="T21" s="78">
        <v>3.577</v>
      </c>
      <c r="U21" s="78">
        <v>42.8</v>
      </c>
      <c r="V21" s="78">
        <v>26.509</v>
      </c>
      <c r="W21" s="78">
        <v>305.89999999999998</v>
      </c>
      <c r="X21" s="91">
        <v>117.31100000000001</v>
      </c>
      <c r="Y21" s="91">
        <v>2825.6</v>
      </c>
      <c r="Z21" s="78">
        <v>7.1999999999999995E-2</v>
      </c>
      <c r="AA21" s="78">
        <v>6</v>
      </c>
      <c r="AB21" s="78">
        <v>56.118000000000002</v>
      </c>
      <c r="AC21" s="78">
        <v>561</v>
      </c>
      <c r="AD21" s="91">
        <v>109.96299999999999</v>
      </c>
      <c r="AE21" s="91">
        <v>2322</v>
      </c>
      <c r="AF21" s="78">
        <v>3.0760000000000001</v>
      </c>
      <c r="AG21" s="78">
        <v>45.9</v>
      </c>
      <c r="AH21" s="78"/>
      <c r="AI21" s="78"/>
      <c r="AJ21" s="78">
        <v>2.758</v>
      </c>
      <c r="AK21" s="78">
        <v>49.5</v>
      </c>
      <c r="AL21" s="78"/>
      <c r="AM21" s="78"/>
      <c r="AN21" s="78">
        <v>65.718000000000004</v>
      </c>
      <c r="AO21" s="78">
        <v>1937.3</v>
      </c>
      <c r="AP21" s="78">
        <v>3.1659999999999999</v>
      </c>
      <c r="AQ21" s="78">
        <v>45.9</v>
      </c>
      <c r="AR21" s="78">
        <v>127.736</v>
      </c>
      <c r="AS21" s="78">
        <v>2059.1999999999998</v>
      </c>
      <c r="AT21" s="79">
        <f t="shared" si="0"/>
        <v>628.43200000000013</v>
      </c>
      <c r="AU21" s="79">
        <f t="shared" si="1"/>
        <v>12930.5</v>
      </c>
    </row>
    <row r="22" spans="1:47" ht="20.25" customHeight="1" x14ac:dyDescent="0.25">
      <c r="A22" s="77" t="s">
        <v>28</v>
      </c>
      <c r="B22" s="78">
        <v>10</v>
      </c>
      <c r="C22" s="78">
        <v>180</v>
      </c>
      <c r="D22" s="78"/>
      <c r="E22" s="78"/>
      <c r="F22" s="78"/>
      <c r="G22" s="78"/>
      <c r="H22" s="78">
        <v>30</v>
      </c>
      <c r="I22" s="78">
        <v>800</v>
      </c>
      <c r="J22" s="78">
        <v>29</v>
      </c>
      <c r="K22" s="78">
        <v>700</v>
      </c>
      <c r="L22" s="78"/>
      <c r="M22" s="78"/>
      <c r="N22" s="78"/>
      <c r="O22" s="78"/>
      <c r="P22" s="78">
        <v>36</v>
      </c>
      <c r="Q22" s="78">
        <v>850</v>
      </c>
      <c r="R22" s="78"/>
      <c r="S22" s="78"/>
      <c r="T22" s="78"/>
      <c r="U22" s="78"/>
      <c r="V22" s="78">
        <v>23</v>
      </c>
      <c r="W22" s="78">
        <v>250</v>
      </c>
      <c r="X22" s="91">
        <v>468</v>
      </c>
      <c r="Y22" s="91">
        <v>5866</v>
      </c>
      <c r="Z22" s="78"/>
      <c r="AA22" s="78"/>
      <c r="AB22" s="78">
        <v>5</v>
      </c>
      <c r="AC22" s="78">
        <v>30</v>
      </c>
      <c r="AD22" s="91">
        <v>20</v>
      </c>
      <c r="AE22" s="91">
        <v>390</v>
      </c>
      <c r="AF22" s="78"/>
      <c r="AG22" s="78"/>
      <c r="AH22" s="78"/>
      <c r="AI22" s="78"/>
      <c r="AJ22" s="78"/>
      <c r="AK22" s="78"/>
      <c r="AL22" s="78"/>
      <c r="AM22" s="78"/>
      <c r="AN22" s="78">
        <v>50</v>
      </c>
      <c r="AO22" s="78">
        <v>1200</v>
      </c>
      <c r="AP22" s="78"/>
      <c r="AQ22" s="78"/>
      <c r="AR22" s="78">
        <v>55</v>
      </c>
      <c r="AS22" s="78">
        <v>150</v>
      </c>
      <c r="AT22" s="79">
        <f t="shared" si="0"/>
        <v>726</v>
      </c>
      <c r="AU22" s="79">
        <f t="shared" si="1"/>
        <v>10416</v>
      </c>
    </row>
    <row r="23" spans="1:47" ht="20.25" customHeight="1" x14ac:dyDescent="0.25">
      <c r="A23" s="81" t="s">
        <v>29</v>
      </c>
      <c r="B23" s="78"/>
      <c r="C23" s="78"/>
      <c r="D23" s="78"/>
      <c r="E23" s="78"/>
      <c r="F23" s="78"/>
      <c r="G23" s="78"/>
      <c r="H23" s="78"/>
      <c r="I23" s="78"/>
      <c r="J23" s="78">
        <v>7.1</v>
      </c>
      <c r="K23" s="78">
        <v>84.53</v>
      </c>
      <c r="L23" s="78"/>
      <c r="M23" s="78"/>
      <c r="N23" s="78"/>
      <c r="O23" s="78"/>
      <c r="P23" s="78">
        <v>2.75</v>
      </c>
      <c r="Q23" s="78">
        <v>30.25</v>
      </c>
      <c r="R23" s="78">
        <v>0.12</v>
      </c>
      <c r="S23" s="78">
        <v>0.6</v>
      </c>
      <c r="T23" s="78"/>
      <c r="U23" s="78"/>
      <c r="V23" s="78">
        <v>0.12</v>
      </c>
      <c r="W23" s="78">
        <v>0.84</v>
      </c>
      <c r="X23" s="91">
        <v>0.27</v>
      </c>
      <c r="Y23" s="91">
        <v>4.05</v>
      </c>
      <c r="Z23" s="78"/>
      <c r="AA23" s="78"/>
      <c r="AB23" s="78">
        <v>5.81</v>
      </c>
      <c r="AC23" s="78">
        <v>59.42</v>
      </c>
      <c r="AD23" s="91"/>
      <c r="AE23" s="91"/>
      <c r="AF23" s="78"/>
      <c r="AG23" s="78"/>
      <c r="AH23" s="78"/>
      <c r="AI23" s="78"/>
      <c r="AJ23" s="78"/>
      <c r="AK23" s="78"/>
      <c r="AL23" s="78"/>
      <c r="AM23" s="78"/>
      <c r="AN23" s="78">
        <v>2.83</v>
      </c>
      <c r="AO23" s="78">
        <v>28.73</v>
      </c>
      <c r="AP23" s="78">
        <v>0.03</v>
      </c>
      <c r="AQ23" s="78">
        <v>0.6</v>
      </c>
      <c r="AR23" s="78">
        <f>6+0.16</f>
        <v>6.16</v>
      </c>
      <c r="AS23" s="78">
        <f>60.9+1.12</f>
        <v>62.019999999999996</v>
      </c>
      <c r="AT23" s="79">
        <f t="shared" si="0"/>
        <v>25.19</v>
      </c>
      <c r="AU23" s="79">
        <f t="shared" si="1"/>
        <v>271.03999999999996</v>
      </c>
    </row>
    <row r="24" spans="1:47" ht="20.25" customHeight="1" x14ac:dyDescent="0.25">
      <c r="A24" s="77" t="s">
        <v>30</v>
      </c>
      <c r="B24" s="78">
        <v>0.91</v>
      </c>
      <c r="C24" s="78">
        <v>6.1619999999999999</v>
      </c>
      <c r="D24" s="78">
        <v>0.56399999999999995</v>
      </c>
      <c r="E24" s="78">
        <v>5.2930000000000001</v>
      </c>
      <c r="F24" s="78">
        <v>0.66800000000000004</v>
      </c>
      <c r="G24" s="78">
        <v>8.0239999999999991</v>
      </c>
      <c r="H24" s="78">
        <v>0.97899999999999998</v>
      </c>
      <c r="I24" s="78">
        <v>13.362</v>
      </c>
      <c r="J24" s="78">
        <v>1.8129999999999999</v>
      </c>
      <c r="K24" s="78">
        <v>39.188000000000002</v>
      </c>
      <c r="L24" s="78">
        <v>0.46700000000000003</v>
      </c>
      <c r="M24" s="78">
        <v>4.2009999999999996</v>
      </c>
      <c r="N24" s="78">
        <v>0.73899999999999999</v>
      </c>
      <c r="O24" s="78">
        <v>10.202999999999999</v>
      </c>
      <c r="P24" s="78">
        <v>1.1439999999999999</v>
      </c>
      <c r="Q24" s="78">
        <v>41.735999999999997</v>
      </c>
      <c r="R24" s="78">
        <v>0.52500000000000002</v>
      </c>
      <c r="S24" s="78">
        <v>4.17</v>
      </c>
      <c r="T24" s="78"/>
      <c r="U24" s="78"/>
      <c r="V24" s="78"/>
      <c r="W24" s="78"/>
      <c r="X24" s="91">
        <v>0.48799999999999999</v>
      </c>
      <c r="Y24" s="91">
        <v>4.1289999999999996</v>
      </c>
      <c r="Z24" s="78"/>
      <c r="AA24" s="78"/>
      <c r="AB24" s="78">
        <v>0.874</v>
      </c>
      <c r="AC24" s="78">
        <v>5.7119999999999997</v>
      </c>
      <c r="AD24" s="91">
        <v>18.449000000000002</v>
      </c>
      <c r="AE24" s="91">
        <v>181.815</v>
      </c>
      <c r="AF24" s="78">
        <v>0.67200000000000004</v>
      </c>
      <c r="AG24" s="78">
        <v>8.782</v>
      </c>
      <c r="AH24" s="78">
        <v>1.3140000000000001</v>
      </c>
      <c r="AI24" s="78">
        <v>16.702000000000002</v>
      </c>
      <c r="AJ24" s="78">
        <v>4.4800000000000004</v>
      </c>
      <c r="AK24" s="78">
        <v>15.644</v>
      </c>
      <c r="AL24" s="78">
        <v>5.298</v>
      </c>
      <c r="AM24" s="78">
        <v>31.946999999999999</v>
      </c>
      <c r="AN24" s="78">
        <v>2.032</v>
      </c>
      <c r="AO24" s="78">
        <v>30.827000000000002</v>
      </c>
      <c r="AP24" s="78"/>
      <c r="AQ24" s="78"/>
      <c r="AR24" s="78"/>
      <c r="AS24" s="78"/>
      <c r="AT24" s="79">
        <f t="shared" si="0"/>
        <v>41.416000000000011</v>
      </c>
      <c r="AU24" s="79">
        <f t="shared" si="1"/>
        <v>427.89699999999993</v>
      </c>
    </row>
    <row r="25" spans="1:47" ht="20.25" customHeight="1" x14ac:dyDescent="0.25">
      <c r="A25" s="77" t="s">
        <v>31</v>
      </c>
      <c r="B25" s="78">
        <v>2.5350000000000001</v>
      </c>
      <c r="C25" s="78">
        <v>6.0839999999999996</v>
      </c>
      <c r="D25" s="78">
        <v>4.0449999999999999</v>
      </c>
      <c r="E25" s="78">
        <v>21.84</v>
      </c>
      <c r="F25" s="78">
        <v>7.3999999999999996E-2</v>
      </c>
      <c r="G25" s="78">
        <v>0.40699999999999997</v>
      </c>
      <c r="H25" s="78">
        <v>2.2650000000000001</v>
      </c>
      <c r="I25" s="78">
        <v>16.53</v>
      </c>
      <c r="J25" s="78">
        <v>3.23</v>
      </c>
      <c r="K25" s="78">
        <v>43.28</v>
      </c>
      <c r="L25" s="78">
        <v>0.24</v>
      </c>
      <c r="M25" s="78">
        <v>2.8140000000000001</v>
      </c>
      <c r="N25" s="78">
        <v>0.17</v>
      </c>
      <c r="O25" s="78">
        <v>1.8</v>
      </c>
      <c r="P25" s="78">
        <v>0.42</v>
      </c>
      <c r="Q25" s="78">
        <v>1.7</v>
      </c>
      <c r="R25" s="78">
        <v>0.3</v>
      </c>
      <c r="S25" s="78">
        <v>2.19</v>
      </c>
      <c r="T25" s="78">
        <v>0.14000000000000001</v>
      </c>
      <c r="U25" s="78">
        <v>0.33600000000000002</v>
      </c>
      <c r="V25" s="78">
        <v>3.25</v>
      </c>
      <c r="W25" s="78">
        <v>22.43</v>
      </c>
      <c r="X25" s="91">
        <v>0.51</v>
      </c>
      <c r="Y25" s="91">
        <v>4.74</v>
      </c>
      <c r="Z25" s="78"/>
      <c r="AA25" s="78"/>
      <c r="AB25" s="78">
        <v>0.46</v>
      </c>
      <c r="AC25" s="78">
        <v>2.1619999999999999</v>
      </c>
      <c r="AD25" s="91">
        <v>0.24</v>
      </c>
      <c r="AE25" s="91">
        <v>3</v>
      </c>
      <c r="AF25" s="78">
        <v>0.3</v>
      </c>
      <c r="AG25" s="78">
        <v>0.69</v>
      </c>
      <c r="AH25" s="78">
        <v>0.125</v>
      </c>
      <c r="AI25" s="78">
        <v>0.13800000000000001</v>
      </c>
      <c r="AJ25" s="78">
        <v>0.19</v>
      </c>
      <c r="AK25" s="78">
        <v>1.2350000000000001</v>
      </c>
      <c r="AL25" s="78">
        <v>0.15</v>
      </c>
      <c r="AM25" s="78">
        <v>2.27</v>
      </c>
      <c r="AN25" s="78">
        <v>0.88</v>
      </c>
      <c r="AO25" s="78">
        <v>8.27</v>
      </c>
      <c r="AP25" s="78">
        <v>0.37</v>
      </c>
      <c r="AQ25" s="78">
        <v>0.40699999999999997</v>
      </c>
      <c r="AR25" s="78">
        <f>2.64+4.86+0.045+0.013+0.02+0.4+0.77+13.12+1.01+0.1</f>
        <v>22.978000000000002</v>
      </c>
      <c r="AS25" s="78">
        <f>6.336+82.62+0.027+0.116+0.3+2.92+5.87+11.81+7.57+0.63</f>
        <v>118.19900000000001</v>
      </c>
      <c r="AT25" s="79">
        <f t="shared" si="0"/>
        <v>42.872000000000007</v>
      </c>
      <c r="AU25" s="79">
        <f t="shared" si="1"/>
        <v>260.52200000000005</v>
      </c>
    </row>
    <row r="26" spans="1:47" ht="20.25" customHeight="1" x14ac:dyDescent="0.25">
      <c r="A26" s="80" t="s">
        <v>32</v>
      </c>
      <c r="B26" s="78">
        <v>2.2000000000000002</v>
      </c>
      <c r="C26" s="78">
        <v>17.600000000000001</v>
      </c>
      <c r="D26" s="78">
        <v>0.13</v>
      </c>
      <c r="E26" s="78">
        <v>1.04</v>
      </c>
      <c r="F26" s="78">
        <v>0.15</v>
      </c>
      <c r="G26" s="78">
        <v>1.2</v>
      </c>
      <c r="H26" s="78">
        <v>0.35</v>
      </c>
      <c r="I26" s="78">
        <v>3.5</v>
      </c>
      <c r="J26" s="78">
        <v>20</v>
      </c>
      <c r="K26" s="78">
        <v>160</v>
      </c>
      <c r="L26" s="78"/>
      <c r="M26" s="78"/>
      <c r="N26" s="78">
        <v>0.5</v>
      </c>
      <c r="O26" s="78">
        <v>6</v>
      </c>
      <c r="P26" s="78">
        <v>6</v>
      </c>
      <c r="Q26" s="78">
        <v>3.6</v>
      </c>
      <c r="R26" s="78">
        <v>0.45</v>
      </c>
      <c r="S26" s="78">
        <v>3.6</v>
      </c>
      <c r="T26" s="78"/>
      <c r="U26" s="78"/>
      <c r="V26" s="78">
        <v>0.15</v>
      </c>
      <c r="W26" s="78">
        <v>1.2</v>
      </c>
      <c r="X26" s="91">
        <v>0.7</v>
      </c>
      <c r="Y26" s="91">
        <v>7</v>
      </c>
      <c r="Z26" s="78"/>
      <c r="AA26" s="78"/>
      <c r="AB26" s="78">
        <v>1.55</v>
      </c>
      <c r="AC26" s="78">
        <v>15.5</v>
      </c>
      <c r="AD26" s="91">
        <v>4.3</v>
      </c>
      <c r="AE26" s="91">
        <v>64.5</v>
      </c>
      <c r="AF26" s="78">
        <v>0.5</v>
      </c>
      <c r="AG26" s="78">
        <v>5</v>
      </c>
      <c r="AH26" s="78">
        <v>0.5</v>
      </c>
      <c r="AI26" s="78">
        <v>5</v>
      </c>
      <c r="AJ26" s="78">
        <v>1.55</v>
      </c>
      <c r="AK26" s="78">
        <v>23.25</v>
      </c>
      <c r="AL26" s="78">
        <v>6.1</v>
      </c>
      <c r="AM26" s="78">
        <v>91.5</v>
      </c>
      <c r="AN26" s="78">
        <v>1.7</v>
      </c>
      <c r="AO26" s="78">
        <v>20.399999999999999</v>
      </c>
      <c r="AP26" s="78">
        <v>0.15</v>
      </c>
      <c r="AQ26" s="78">
        <v>1.5</v>
      </c>
      <c r="AR26" s="78">
        <f>4.5+1</f>
        <v>5.5</v>
      </c>
      <c r="AS26" s="78">
        <f>36+10+6</f>
        <v>52</v>
      </c>
      <c r="AT26" s="79">
        <f t="shared" si="0"/>
        <v>52.47999999999999</v>
      </c>
      <c r="AU26" s="79">
        <f t="shared" si="1"/>
        <v>483.39</v>
      </c>
    </row>
    <row r="27" spans="1:47" ht="20.25" customHeight="1" x14ac:dyDescent="0.25">
      <c r="A27" s="77" t="s">
        <v>189</v>
      </c>
      <c r="B27" s="78">
        <v>11.23</v>
      </c>
      <c r="C27" s="78">
        <v>52.11</v>
      </c>
      <c r="D27" s="78">
        <v>11.41</v>
      </c>
      <c r="E27" s="78">
        <v>111.76</v>
      </c>
      <c r="F27" s="78">
        <v>10.19</v>
      </c>
      <c r="G27" s="78">
        <v>138.09</v>
      </c>
      <c r="H27" s="78">
        <v>125.2</v>
      </c>
      <c r="I27" s="78">
        <v>2158.25</v>
      </c>
      <c r="J27" s="78">
        <v>40.98</v>
      </c>
      <c r="K27" s="78">
        <v>1150.8800000000001</v>
      </c>
      <c r="L27" s="78">
        <v>0.41</v>
      </c>
      <c r="M27" s="78">
        <v>5.95</v>
      </c>
      <c r="N27" s="78">
        <v>0.1</v>
      </c>
      <c r="O27" s="78">
        <v>1.26</v>
      </c>
      <c r="P27" s="78">
        <v>44.07</v>
      </c>
      <c r="Q27" s="78">
        <v>667.73</v>
      </c>
      <c r="R27" s="78">
        <v>2.46</v>
      </c>
      <c r="S27" s="78">
        <v>34.590000000000003</v>
      </c>
      <c r="T27" s="78">
        <v>0.08</v>
      </c>
      <c r="U27" s="78">
        <v>1.37</v>
      </c>
      <c r="V27" s="78">
        <v>65.239999999999995</v>
      </c>
      <c r="W27" s="78">
        <v>578.53</v>
      </c>
      <c r="X27" s="91">
        <v>35.81</v>
      </c>
      <c r="Y27" s="91">
        <v>432.05</v>
      </c>
      <c r="Z27" s="78">
        <v>2.0499999999999998</v>
      </c>
      <c r="AA27" s="78">
        <v>29</v>
      </c>
      <c r="AB27" s="78">
        <v>5.89</v>
      </c>
      <c r="AC27" s="78">
        <v>52.79</v>
      </c>
      <c r="AD27" s="91">
        <v>14.99</v>
      </c>
      <c r="AE27" s="91">
        <v>249.76</v>
      </c>
      <c r="AF27" s="78">
        <v>12.65</v>
      </c>
      <c r="AG27" s="78">
        <v>137.38</v>
      </c>
      <c r="AH27" s="78"/>
      <c r="AI27" s="78"/>
      <c r="AJ27" s="78">
        <v>42.03</v>
      </c>
      <c r="AK27" s="78">
        <v>396.2</v>
      </c>
      <c r="AL27" s="78">
        <v>0.06</v>
      </c>
      <c r="AM27" s="78">
        <v>1.01</v>
      </c>
      <c r="AN27" s="78">
        <v>97.02</v>
      </c>
      <c r="AO27" s="78">
        <v>1385.96</v>
      </c>
      <c r="AP27" s="78">
        <v>12.58</v>
      </c>
      <c r="AQ27" s="78">
        <v>242.88</v>
      </c>
      <c r="AR27" s="78">
        <v>142.88</v>
      </c>
      <c r="AS27" s="78">
        <f>1597.67+8.44</f>
        <v>1606.1100000000001</v>
      </c>
      <c r="AT27" s="79">
        <f t="shared" si="0"/>
        <v>677.33</v>
      </c>
      <c r="AU27" s="79">
        <f t="shared" si="1"/>
        <v>9433.6600000000017</v>
      </c>
    </row>
    <row r="28" spans="1:47" ht="20.25" customHeight="1" x14ac:dyDescent="0.25">
      <c r="A28" s="80" t="s">
        <v>167</v>
      </c>
      <c r="B28" s="78">
        <v>7.0000000000000001E-3</v>
      </c>
      <c r="C28" s="78">
        <v>5.3999999999999999E-2</v>
      </c>
      <c r="D28" s="78">
        <v>1.2E-2</v>
      </c>
      <c r="E28" s="78">
        <v>4.8000000000000001E-2</v>
      </c>
      <c r="F28" s="78">
        <v>1.4999999999999999E-2</v>
      </c>
      <c r="G28" s="78">
        <v>0.124</v>
      </c>
      <c r="H28" s="78">
        <v>0.16600000000000001</v>
      </c>
      <c r="I28" s="78">
        <v>2.1230000000000002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>
        <v>3.0000000000000001E-3</v>
      </c>
      <c r="U28" s="78">
        <v>2.5000000000000001E-2</v>
      </c>
      <c r="V28" s="78">
        <v>7.2999999999999995E-2</v>
      </c>
      <c r="W28" s="78">
        <v>0.68</v>
      </c>
      <c r="X28" s="91">
        <v>2.5000000000000001E-2</v>
      </c>
      <c r="Y28" s="91">
        <v>0.108</v>
      </c>
      <c r="Z28" s="78"/>
      <c r="AA28" s="78"/>
      <c r="AB28" s="78"/>
      <c r="AC28" s="78"/>
      <c r="AD28" s="91"/>
      <c r="AE28" s="91"/>
      <c r="AF28" s="78">
        <v>8.9999999999999993E-3</v>
      </c>
      <c r="AG28" s="78">
        <v>0.11700000000000001</v>
      </c>
      <c r="AH28" s="78"/>
      <c r="AI28" s="78"/>
      <c r="AJ28" s="78">
        <v>9.7000000000000003E-2</v>
      </c>
      <c r="AK28" s="78">
        <v>1.425</v>
      </c>
      <c r="AL28" s="78">
        <v>9.8000000000000004E-2</v>
      </c>
      <c r="AM28" s="78">
        <v>2.57</v>
      </c>
      <c r="AN28" s="78">
        <v>5.0000000000000001E-3</v>
      </c>
      <c r="AO28" s="78">
        <v>6.2E-2</v>
      </c>
      <c r="AP28" s="78">
        <v>3.0000000000000001E-3</v>
      </c>
      <c r="AQ28" s="78">
        <v>3.3000000000000002E-2</v>
      </c>
      <c r="AR28" s="78">
        <f>0.023+0.004+0.055+0.048+0.011+0.02+0.002+0.032+0.003+0.193</f>
        <v>0.39100000000000001</v>
      </c>
      <c r="AS28" s="78">
        <f>0.033+0.421+0.01+0.1+0.063+0.331+0.023+0.33+0.434+7.145</f>
        <v>8.8899999999999988</v>
      </c>
      <c r="AT28" s="79">
        <f t="shared" si="0"/>
        <v>0.90400000000000003</v>
      </c>
      <c r="AU28" s="79">
        <f t="shared" si="1"/>
        <v>16.259</v>
      </c>
    </row>
    <row r="29" spans="1:47" ht="20.25" customHeight="1" x14ac:dyDescent="0.25">
      <c r="A29" s="77" t="s">
        <v>33</v>
      </c>
      <c r="B29" s="78"/>
      <c r="C29" s="78"/>
      <c r="D29" s="78">
        <v>2.12</v>
      </c>
      <c r="E29" s="78">
        <v>31.64</v>
      </c>
      <c r="F29" s="78">
        <v>7.9</v>
      </c>
      <c r="G29" s="78">
        <v>118.21</v>
      </c>
      <c r="H29" s="78">
        <v>3.86</v>
      </c>
      <c r="I29" s="78">
        <v>82.14</v>
      </c>
      <c r="J29" s="78">
        <v>4.95</v>
      </c>
      <c r="K29" s="78">
        <v>86.99</v>
      </c>
      <c r="L29" s="78">
        <v>0.33</v>
      </c>
      <c r="M29" s="78">
        <v>4.75</v>
      </c>
      <c r="N29" s="78">
        <v>6.16</v>
      </c>
      <c r="O29" s="78">
        <v>126.25</v>
      </c>
      <c r="P29" s="78">
        <v>12.22</v>
      </c>
      <c r="Q29" s="78">
        <v>218.74</v>
      </c>
      <c r="R29" s="78">
        <v>2.2400000000000002</v>
      </c>
      <c r="S29" s="78">
        <v>33.57</v>
      </c>
      <c r="T29" s="78">
        <v>4.95</v>
      </c>
      <c r="U29" s="78">
        <v>85.95</v>
      </c>
      <c r="V29" s="91">
        <v>3.2</v>
      </c>
      <c r="W29" s="91">
        <v>33.340000000000003</v>
      </c>
      <c r="X29" s="78">
        <v>8.32</v>
      </c>
      <c r="Y29" s="78">
        <v>184.68</v>
      </c>
      <c r="Z29" s="78"/>
      <c r="AA29" s="78"/>
      <c r="AB29" s="78">
        <v>20.54</v>
      </c>
      <c r="AC29" s="78">
        <v>209.84</v>
      </c>
      <c r="AD29" s="91">
        <v>87.24</v>
      </c>
      <c r="AE29" s="91">
        <v>2181.1</v>
      </c>
      <c r="AF29" s="78">
        <v>12.33</v>
      </c>
      <c r="AG29" s="78">
        <v>252.51</v>
      </c>
      <c r="AH29" s="78">
        <v>0.13</v>
      </c>
      <c r="AI29" s="78">
        <v>1.77</v>
      </c>
      <c r="AJ29" s="78"/>
      <c r="AK29" s="78"/>
      <c r="AL29" s="78">
        <v>2.0499999999999998</v>
      </c>
      <c r="AM29" s="78">
        <v>42.08</v>
      </c>
      <c r="AN29" s="78">
        <v>7.39</v>
      </c>
      <c r="AO29" s="78">
        <v>182.27</v>
      </c>
      <c r="AP29" s="78">
        <v>1.05</v>
      </c>
      <c r="AQ29" s="78">
        <v>18.559999999999999</v>
      </c>
      <c r="AR29" s="78">
        <f>1.38+2.64</f>
        <v>4.0199999999999996</v>
      </c>
      <c r="AS29" s="78">
        <f>21.25+6.64</f>
        <v>27.89</v>
      </c>
      <c r="AT29" s="79">
        <f t="shared" si="0"/>
        <v>191.00000000000003</v>
      </c>
      <c r="AU29" s="79">
        <f t="shared" si="1"/>
        <v>3922.2799999999997</v>
      </c>
    </row>
    <row r="30" spans="1:47" ht="20.25" customHeight="1" x14ac:dyDescent="0.25">
      <c r="A30" s="77" t="s">
        <v>34</v>
      </c>
      <c r="B30" s="78">
        <v>1.3</v>
      </c>
      <c r="C30" s="78">
        <v>2.35</v>
      </c>
      <c r="D30" s="78">
        <v>1.1399999999999999</v>
      </c>
      <c r="E30" s="78">
        <v>3.87</v>
      </c>
      <c r="F30" s="78">
        <v>5.18</v>
      </c>
      <c r="G30" s="78">
        <v>22.06</v>
      </c>
      <c r="H30" s="78">
        <v>6.68</v>
      </c>
      <c r="I30" s="78">
        <v>53.93</v>
      </c>
      <c r="J30" s="78">
        <v>3.3</v>
      </c>
      <c r="K30" s="78">
        <v>14.43</v>
      </c>
      <c r="L30" s="78"/>
      <c r="M30" s="78"/>
      <c r="N30" s="78">
        <v>5.01</v>
      </c>
      <c r="O30" s="78">
        <v>35.75</v>
      </c>
      <c r="P30" s="78">
        <v>7.99</v>
      </c>
      <c r="Q30" s="78">
        <v>35</v>
      </c>
      <c r="R30" s="78">
        <v>3.32</v>
      </c>
      <c r="S30" s="78">
        <v>17.39</v>
      </c>
      <c r="T30" s="78">
        <v>2.33</v>
      </c>
      <c r="U30" s="78">
        <v>10.039999999999999</v>
      </c>
      <c r="V30" s="78">
        <v>4.51</v>
      </c>
      <c r="W30" s="78">
        <v>15.99</v>
      </c>
      <c r="X30" s="91">
        <v>53.43</v>
      </c>
      <c r="Y30" s="91">
        <v>1001.57</v>
      </c>
      <c r="Z30" s="78"/>
      <c r="AA30" s="78"/>
      <c r="AB30" s="78">
        <v>15.83</v>
      </c>
      <c r="AC30" s="78">
        <v>28.54</v>
      </c>
      <c r="AD30" s="91">
        <v>11.55</v>
      </c>
      <c r="AE30" s="91">
        <v>174.67</v>
      </c>
      <c r="AF30" s="78">
        <v>2.06</v>
      </c>
      <c r="AG30" s="78">
        <v>13.52</v>
      </c>
      <c r="AH30" s="78">
        <v>1.3</v>
      </c>
      <c r="AI30" s="78">
        <v>8.5</v>
      </c>
      <c r="AJ30" s="78">
        <v>0.91</v>
      </c>
      <c r="AK30" s="78">
        <v>4.79</v>
      </c>
      <c r="AL30" s="78"/>
      <c r="AM30" s="78"/>
      <c r="AN30" s="78">
        <v>19.39</v>
      </c>
      <c r="AO30" s="78">
        <v>89.86</v>
      </c>
      <c r="AP30" s="78">
        <v>3.83</v>
      </c>
      <c r="AQ30" s="78">
        <v>23.44</v>
      </c>
      <c r="AR30" s="78">
        <v>16.11</v>
      </c>
      <c r="AS30" s="78">
        <v>149.38999999999999</v>
      </c>
      <c r="AT30" s="79">
        <f t="shared" si="0"/>
        <v>165.17000000000002</v>
      </c>
      <c r="AU30" s="79">
        <f t="shared" si="1"/>
        <v>1705.0900000000001</v>
      </c>
    </row>
    <row r="31" spans="1:47" ht="20.25" customHeight="1" x14ac:dyDescent="0.25">
      <c r="A31" s="77" t="s">
        <v>35</v>
      </c>
      <c r="B31" s="78">
        <v>1.1200000000000001</v>
      </c>
      <c r="C31" s="78">
        <v>5.64</v>
      </c>
      <c r="D31" s="78">
        <v>0.314</v>
      </c>
      <c r="E31" s="78">
        <v>1.8</v>
      </c>
      <c r="F31" s="78">
        <v>0.18</v>
      </c>
      <c r="G31" s="78">
        <v>1.46</v>
      </c>
      <c r="H31" s="78">
        <v>0.26200000000000001</v>
      </c>
      <c r="I31" s="78">
        <v>1.68</v>
      </c>
      <c r="J31" s="78">
        <v>1.21</v>
      </c>
      <c r="K31" s="78">
        <v>7.34</v>
      </c>
      <c r="L31" s="78">
        <v>3.1E-2</v>
      </c>
      <c r="M31" s="78">
        <v>9.2999999999999999E-2</v>
      </c>
      <c r="N31" s="78">
        <v>0.36299999999999999</v>
      </c>
      <c r="O31" s="78">
        <v>2.75</v>
      </c>
      <c r="P31" s="78">
        <v>0.78200000000000003</v>
      </c>
      <c r="Q31" s="78">
        <v>4.3</v>
      </c>
      <c r="R31" s="78">
        <v>6.7000000000000004E-2</v>
      </c>
      <c r="S31" s="78">
        <v>0.30299999999999999</v>
      </c>
      <c r="T31" s="78"/>
      <c r="U31" s="78"/>
      <c r="V31" s="78">
        <v>1.1299999999999999</v>
      </c>
      <c r="W31" s="78">
        <v>7.52</v>
      </c>
      <c r="X31" s="91">
        <v>0.32100000000000001</v>
      </c>
      <c r="Y31" s="91">
        <v>1.72</v>
      </c>
      <c r="Z31" s="78"/>
      <c r="AA31" s="78"/>
      <c r="AB31" s="78">
        <v>2.02</v>
      </c>
      <c r="AC31" s="78">
        <v>9.27</v>
      </c>
      <c r="AD31" s="91">
        <f>5.4+4.84</f>
        <v>10.24</v>
      </c>
      <c r="AE31" s="91">
        <f>24.21+25.65</f>
        <v>49.86</v>
      </c>
      <c r="AF31" s="78">
        <v>0.755</v>
      </c>
      <c r="AG31" s="78">
        <v>5.55</v>
      </c>
      <c r="AH31" s="78"/>
      <c r="AI31" s="78"/>
      <c r="AJ31" s="78"/>
      <c r="AK31" s="78"/>
      <c r="AL31" s="78"/>
      <c r="AM31" s="78"/>
      <c r="AN31" s="78">
        <v>1.01</v>
      </c>
      <c r="AO31" s="78">
        <v>9.08</v>
      </c>
      <c r="AP31" s="78"/>
      <c r="AQ31" s="78"/>
      <c r="AR31" s="78">
        <f>0.126+2.4+2.49+0.336+0.15+0.714</f>
        <v>6.2160000000000011</v>
      </c>
      <c r="AS31" s="78">
        <f>0.621+8.83+11.31+1.24+3.69</f>
        <v>25.691000000000003</v>
      </c>
      <c r="AT31" s="79">
        <f t="shared" si="0"/>
        <v>26.021000000000001</v>
      </c>
      <c r="AU31" s="79">
        <f t="shared" si="1"/>
        <v>134.05699999999999</v>
      </c>
    </row>
    <row r="32" spans="1:47" ht="20.25" customHeight="1" x14ac:dyDescent="0.25">
      <c r="A32" s="77" t="s">
        <v>36</v>
      </c>
      <c r="B32" s="78">
        <v>3.48</v>
      </c>
      <c r="C32" s="78">
        <v>72.44</v>
      </c>
      <c r="D32" s="78">
        <v>1.28</v>
      </c>
      <c r="E32" s="78">
        <v>23.92</v>
      </c>
      <c r="F32" s="78">
        <v>0.32</v>
      </c>
      <c r="G32" s="78">
        <v>6.28</v>
      </c>
      <c r="H32" s="78">
        <v>10.93</v>
      </c>
      <c r="I32" s="78">
        <v>126.22</v>
      </c>
      <c r="J32" s="78">
        <v>2.16</v>
      </c>
      <c r="K32" s="78">
        <v>143.47</v>
      </c>
      <c r="L32" s="78"/>
      <c r="M32" s="78"/>
      <c r="N32" s="78">
        <v>3.72</v>
      </c>
      <c r="O32" s="78">
        <v>122.34</v>
      </c>
      <c r="P32" s="78">
        <v>1.01</v>
      </c>
      <c r="Q32" s="78">
        <v>22.2</v>
      </c>
      <c r="R32" s="78">
        <v>0.93</v>
      </c>
      <c r="S32" s="78">
        <v>9.1999999999999993</v>
      </c>
      <c r="T32" s="78">
        <v>0.24</v>
      </c>
      <c r="U32" s="78">
        <v>7.14</v>
      </c>
      <c r="V32" s="78">
        <v>8.77</v>
      </c>
      <c r="W32" s="78">
        <v>83.59</v>
      </c>
      <c r="X32" s="91">
        <v>39.97</v>
      </c>
      <c r="Y32" s="91">
        <v>472.69</v>
      </c>
      <c r="Z32" s="78"/>
      <c r="AA32" s="78"/>
      <c r="AB32" s="78"/>
      <c r="AC32" s="78"/>
      <c r="AD32" s="91">
        <v>5.35</v>
      </c>
      <c r="AE32" s="91">
        <v>115.63</v>
      </c>
      <c r="AF32" s="78">
        <v>0.63</v>
      </c>
      <c r="AG32" s="78">
        <v>20.62</v>
      </c>
      <c r="AH32" s="78">
        <v>1.04</v>
      </c>
      <c r="AI32" s="78">
        <v>26.22</v>
      </c>
      <c r="AJ32" s="78">
        <v>0.45</v>
      </c>
      <c r="AK32" s="78">
        <v>10.02</v>
      </c>
      <c r="AL32" s="78">
        <v>120.61</v>
      </c>
      <c r="AM32" s="78">
        <v>4975.5600000000004</v>
      </c>
      <c r="AN32" s="78">
        <v>25.15</v>
      </c>
      <c r="AO32" s="78">
        <v>332.5</v>
      </c>
      <c r="AP32" s="78">
        <v>6.5</v>
      </c>
      <c r="AQ32" s="78">
        <v>226.04</v>
      </c>
      <c r="AR32" s="78">
        <f>0.62+1.24+55.34</f>
        <v>57.2</v>
      </c>
      <c r="AS32" s="78">
        <f>0.27+43.38+1839.09</f>
        <v>1882.74</v>
      </c>
      <c r="AT32" s="79">
        <f t="shared" si="0"/>
        <v>289.74</v>
      </c>
      <c r="AU32" s="79">
        <f t="shared" si="1"/>
        <v>8678.8200000000015</v>
      </c>
    </row>
    <row r="33" spans="1:47" ht="20.25" customHeight="1" x14ac:dyDescent="0.2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91"/>
      <c r="Y33" s="91"/>
      <c r="Z33" s="78"/>
      <c r="AA33" s="78"/>
      <c r="AB33" s="78"/>
      <c r="AC33" s="78"/>
      <c r="AD33" s="91"/>
      <c r="AE33" s="91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9"/>
      <c r="AU33" s="79"/>
    </row>
    <row r="34" spans="1:47" ht="20.25" customHeight="1" x14ac:dyDescent="0.25">
      <c r="A34" s="77" t="s">
        <v>37</v>
      </c>
      <c r="B34" s="78"/>
      <c r="C34" s="78"/>
      <c r="D34" s="78">
        <v>0.79</v>
      </c>
      <c r="E34" s="78">
        <v>7.5</v>
      </c>
      <c r="F34" s="78">
        <v>1.74</v>
      </c>
      <c r="G34" s="78">
        <v>36</v>
      </c>
      <c r="H34" s="78">
        <v>3.5</v>
      </c>
      <c r="I34" s="78">
        <v>53</v>
      </c>
      <c r="J34" s="78">
        <v>2.98</v>
      </c>
      <c r="K34" s="78">
        <v>77</v>
      </c>
      <c r="L34" s="78">
        <v>0.1</v>
      </c>
      <c r="M34" s="78">
        <v>0.82</v>
      </c>
      <c r="N34" s="78">
        <v>0.34</v>
      </c>
      <c r="O34" s="78">
        <v>3.99</v>
      </c>
      <c r="P34" s="78">
        <v>2.5</v>
      </c>
      <c r="Q34" s="78">
        <v>51</v>
      </c>
      <c r="R34" s="78">
        <v>1.47</v>
      </c>
      <c r="S34" s="78">
        <v>15</v>
      </c>
      <c r="T34" s="78"/>
      <c r="U34" s="78"/>
      <c r="V34" s="78">
        <v>1.67</v>
      </c>
      <c r="W34" s="78">
        <v>16</v>
      </c>
      <c r="X34" s="91"/>
      <c r="Y34" s="91"/>
      <c r="Z34" s="78">
        <v>0.45</v>
      </c>
      <c r="AA34" s="78">
        <v>5.5</v>
      </c>
      <c r="AB34" s="78"/>
      <c r="AC34" s="78"/>
      <c r="AD34" s="91">
        <v>8.33</v>
      </c>
      <c r="AE34" s="91">
        <v>150</v>
      </c>
      <c r="AF34" s="78">
        <v>2.88</v>
      </c>
      <c r="AG34" s="78">
        <v>55.85</v>
      </c>
      <c r="AH34" s="78">
        <v>0.83</v>
      </c>
      <c r="AI34" s="78">
        <v>16.5</v>
      </c>
      <c r="AJ34" s="78"/>
      <c r="AK34" s="78"/>
      <c r="AL34" s="78"/>
      <c r="AM34" s="78"/>
      <c r="AN34" s="78">
        <v>1.6</v>
      </c>
      <c r="AO34" s="78">
        <v>39</v>
      </c>
      <c r="AP34" s="78">
        <v>0.9</v>
      </c>
      <c r="AQ34" s="78">
        <v>22.5</v>
      </c>
      <c r="AR34" s="78">
        <v>15.5</v>
      </c>
      <c r="AS34" s="78">
        <v>210.5</v>
      </c>
      <c r="AT34" s="79">
        <f t="shared" ref="AT34:AU37" si="2">B34+D34+F34+H34+J34+L34+N34+P34+R34+T34+V34+X34+Z34+AB34+AD34+AF34+AH34+AJ34+AL34+AN34+AP34+AR34</f>
        <v>45.58</v>
      </c>
      <c r="AU34" s="79">
        <f t="shared" si="2"/>
        <v>760.16000000000008</v>
      </c>
    </row>
    <row r="35" spans="1:47" ht="20.25" customHeight="1" x14ac:dyDescent="0.25">
      <c r="A35" s="77" t="s">
        <v>38</v>
      </c>
      <c r="B35" s="78"/>
      <c r="C35" s="78"/>
      <c r="D35" s="78">
        <v>2.875</v>
      </c>
      <c r="E35" s="78">
        <v>76.900999999999996</v>
      </c>
      <c r="F35" s="78">
        <v>6.6959999999999997</v>
      </c>
      <c r="G35" s="78">
        <v>204.15600000000001</v>
      </c>
      <c r="H35" s="78">
        <v>3.536</v>
      </c>
      <c r="I35" s="78">
        <v>118.518</v>
      </c>
      <c r="J35" s="78">
        <v>1.931</v>
      </c>
      <c r="K35" s="78">
        <v>65.066000000000003</v>
      </c>
      <c r="L35" s="78"/>
      <c r="M35" s="78"/>
      <c r="N35" s="78">
        <v>3.0779999999999998</v>
      </c>
      <c r="O35" s="78">
        <v>77.209999999999994</v>
      </c>
      <c r="P35" s="78">
        <v>9.9339999999999993</v>
      </c>
      <c r="Q35" s="78">
        <v>217.96199999999999</v>
      </c>
      <c r="R35" s="78"/>
      <c r="S35" s="78"/>
      <c r="T35" s="78">
        <v>17.945</v>
      </c>
      <c r="U35" s="78">
        <v>466.57</v>
      </c>
      <c r="V35" s="78">
        <v>3.536</v>
      </c>
      <c r="W35" s="78">
        <v>118.518</v>
      </c>
      <c r="X35" s="91">
        <v>24.748000000000001</v>
      </c>
      <c r="Y35" s="91">
        <v>435.005</v>
      </c>
      <c r="Z35" s="78">
        <v>1.1719999999999999</v>
      </c>
      <c r="AA35" s="78">
        <v>30.173999999999999</v>
      </c>
      <c r="AB35" s="78">
        <v>174.578</v>
      </c>
      <c r="AC35" s="78">
        <v>1891.559</v>
      </c>
      <c r="AD35" s="91">
        <v>603.75800000000004</v>
      </c>
      <c r="AE35" s="91">
        <v>14430.279</v>
      </c>
      <c r="AF35" s="78">
        <v>2.875</v>
      </c>
      <c r="AG35" s="78">
        <v>76.900999999999996</v>
      </c>
      <c r="AH35" s="78">
        <v>4.4039999999999999</v>
      </c>
      <c r="AI35" s="78">
        <v>173.66399999999999</v>
      </c>
      <c r="AJ35" s="78">
        <v>17.829000000000001</v>
      </c>
      <c r="AK35" s="78">
        <v>244.95699999999999</v>
      </c>
      <c r="AL35" s="78"/>
      <c r="AM35" s="78"/>
      <c r="AN35" s="78">
        <v>8.2289999999999992</v>
      </c>
      <c r="AO35" s="78">
        <v>347.84</v>
      </c>
      <c r="AP35" s="78">
        <v>10.122</v>
      </c>
      <c r="AQ35" s="78">
        <v>455.49</v>
      </c>
      <c r="AR35" s="78"/>
      <c r="AS35" s="78"/>
      <c r="AT35" s="79">
        <f t="shared" si="2"/>
        <v>897.24599999999998</v>
      </c>
      <c r="AU35" s="79">
        <f t="shared" si="2"/>
        <v>19430.770000000004</v>
      </c>
    </row>
    <row r="36" spans="1:47" ht="20.25" customHeight="1" x14ac:dyDescent="0.25">
      <c r="A36" s="77" t="s">
        <v>90</v>
      </c>
      <c r="B36" s="78">
        <v>5.4450000000000003</v>
      </c>
      <c r="C36" s="78">
        <v>40.130000000000003</v>
      </c>
      <c r="D36" s="78"/>
      <c r="E36" s="78"/>
      <c r="F36" s="78"/>
      <c r="G36" s="78"/>
      <c r="H36" s="78">
        <v>2.3279999999999998</v>
      </c>
      <c r="I36" s="78">
        <v>27.120999999999999</v>
      </c>
      <c r="J36" s="78">
        <v>5.76</v>
      </c>
      <c r="K36" s="78">
        <v>72.805999999999997</v>
      </c>
      <c r="L36" s="78">
        <v>2.4</v>
      </c>
      <c r="M36" s="78">
        <v>13.56</v>
      </c>
      <c r="N36" s="78"/>
      <c r="O36" s="78"/>
      <c r="P36" s="78">
        <v>2.7549999999999999</v>
      </c>
      <c r="Q36" s="78">
        <v>36.723999999999997</v>
      </c>
      <c r="R36" s="78"/>
      <c r="S36" s="78"/>
      <c r="T36" s="78"/>
      <c r="U36" s="78"/>
      <c r="V36" s="78">
        <v>3.3420000000000001</v>
      </c>
      <c r="W36" s="78">
        <v>27.939</v>
      </c>
      <c r="X36" s="91">
        <v>3.8180000000000001</v>
      </c>
      <c r="Y36" s="91">
        <v>39.402000000000001</v>
      </c>
      <c r="Z36" s="78"/>
      <c r="AA36" s="78"/>
      <c r="AB36" s="78">
        <v>11.65</v>
      </c>
      <c r="AC36" s="78">
        <v>78.287999999999997</v>
      </c>
      <c r="AD36" s="91">
        <v>25.04</v>
      </c>
      <c r="AE36" s="91">
        <v>434.44400000000002</v>
      </c>
      <c r="AF36" s="78">
        <v>4.665</v>
      </c>
      <c r="AG36" s="78">
        <v>58.079000000000001</v>
      </c>
      <c r="AH36" s="78"/>
      <c r="AI36" s="78"/>
      <c r="AJ36" s="78"/>
      <c r="AK36" s="78"/>
      <c r="AL36" s="78"/>
      <c r="AM36" s="78"/>
      <c r="AN36" s="78">
        <v>8.7899999999999991</v>
      </c>
      <c r="AO36" s="78">
        <v>102.491</v>
      </c>
      <c r="AP36" s="78"/>
      <c r="AQ36" s="78"/>
      <c r="AR36" s="78">
        <f>12.04</f>
        <v>12.04</v>
      </c>
      <c r="AS36" s="78">
        <f>128.587</f>
        <v>128.58699999999999</v>
      </c>
      <c r="AT36" s="79">
        <f t="shared" si="2"/>
        <v>88.032999999999987</v>
      </c>
      <c r="AU36" s="79">
        <f t="shared" si="2"/>
        <v>1059.5709999999999</v>
      </c>
    </row>
    <row r="37" spans="1:47" ht="20.25" customHeight="1" x14ac:dyDescent="0.25">
      <c r="A37" s="77" t="s">
        <v>40</v>
      </c>
      <c r="B37" s="78">
        <v>23.2</v>
      </c>
      <c r="C37" s="78">
        <v>127.8</v>
      </c>
      <c r="D37" s="78"/>
      <c r="E37" s="78"/>
      <c r="F37" s="78"/>
      <c r="G37" s="78"/>
      <c r="H37" s="78">
        <v>161.5</v>
      </c>
      <c r="I37" s="78">
        <v>2977</v>
      </c>
      <c r="J37" s="78">
        <v>78.2</v>
      </c>
      <c r="K37" s="78">
        <v>2197.4</v>
      </c>
      <c r="L37" s="78"/>
      <c r="M37" s="78"/>
      <c r="N37" s="78"/>
      <c r="O37" s="78"/>
      <c r="P37" s="78">
        <v>73.599999999999994</v>
      </c>
      <c r="Q37" s="78">
        <v>1879</v>
      </c>
      <c r="R37" s="78"/>
      <c r="S37" s="78"/>
      <c r="T37" s="78"/>
      <c r="U37" s="78"/>
      <c r="V37" s="78">
        <v>75</v>
      </c>
      <c r="W37" s="78">
        <v>877</v>
      </c>
      <c r="X37" s="91">
        <v>23.5</v>
      </c>
      <c r="Y37" s="91">
        <v>342.85</v>
      </c>
      <c r="Z37" s="78"/>
      <c r="AA37" s="78"/>
      <c r="AB37" s="78">
        <v>21.9</v>
      </c>
      <c r="AC37" s="78">
        <v>133.5</v>
      </c>
      <c r="AD37" s="91">
        <v>415</v>
      </c>
      <c r="AE37" s="91">
        <v>11000</v>
      </c>
      <c r="AF37" s="78">
        <v>40.700000000000003</v>
      </c>
      <c r="AG37" s="78">
        <v>498.5</v>
      </c>
      <c r="AH37" s="78"/>
      <c r="AI37" s="78"/>
      <c r="AJ37" s="78">
        <v>22.8</v>
      </c>
      <c r="AK37" s="78">
        <v>236</v>
      </c>
      <c r="AL37" s="78"/>
      <c r="AM37" s="78"/>
      <c r="AN37" s="78">
        <v>56.5</v>
      </c>
      <c r="AO37" s="78">
        <v>1141.5</v>
      </c>
      <c r="AP37" s="78">
        <v>16.55</v>
      </c>
      <c r="AQ37" s="78">
        <v>233.4</v>
      </c>
      <c r="AR37" s="78">
        <f>204+170.6</f>
        <v>374.6</v>
      </c>
      <c r="AS37" s="78">
        <f>1184+2187</f>
        <v>3371</v>
      </c>
      <c r="AT37" s="79">
        <f t="shared" si="2"/>
        <v>1383.05</v>
      </c>
      <c r="AU37" s="79">
        <f t="shared" si="2"/>
        <v>25014.950000000004</v>
      </c>
    </row>
    <row r="38" spans="1:47" ht="20.25" customHeight="1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9"/>
      <c r="AU38" s="79"/>
    </row>
    <row r="39" spans="1:47" ht="20.25" customHeight="1" x14ac:dyDescent="0.25">
      <c r="A39" s="77" t="s">
        <v>9</v>
      </c>
      <c r="B39" s="79">
        <f>SUM(B3:B38)</f>
        <v>118.627</v>
      </c>
      <c r="C39" s="79">
        <f t="shared" ref="C39:AU39" si="3">SUM(C3:C38)</f>
        <v>1212.5492000000002</v>
      </c>
      <c r="D39" s="79">
        <f t="shared" si="3"/>
        <v>88.290999999999997</v>
      </c>
      <c r="E39" s="79">
        <f t="shared" si="3"/>
        <v>970.72049999999979</v>
      </c>
      <c r="F39" s="79">
        <f t="shared" si="3"/>
        <v>117.59599999999999</v>
      </c>
      <c r="G39" s="79">
        <f t="shared" si="3"/>
        <v>2191.9519399999999</v>
      </c>
      <c r="H39" s="79">
        <f t="shared" si="3"/>
        <v>722.40299999999991</v>
      </c>
      <c r="I39" s="79">
        <f t="shared" si="3"/>
        <v>13841.795999999998</v>
      </c>
      <c r="J39" s="79">
        <f t="shared" si="3"/>
        <v>411.56099999999998</v>
      </c>
      <c r="K39" s="79">
        <f t="shared" si="3"/>
        <v>9108.6550000000007</v>
      </c>
      <c r="L39" s="79">
        <f t="shared" si="3"/>
        <v>28.88399999999999</v>
      </c>
      <c r="M39" s="79">
        <f t="shared" si="3"/>
        <v>155.88199999999998</v>
      </c>
      <c r="N39" s="79">
        <f t="shared" si="3"/>
        <v>69.010000000000005</v>
      </c>
      <c r="O39" s="79">
        <f t="shared" si="3"/>
        <v>1189.877</v>
      </c>
      <c r="P39" s="79">
        <f t="shared" si="3"/>
        <v>432.29700000000003</v>
      </c>
      <c r="Q39" s="79">
        <f t="shared" si="3"/>
        <v>8584.6669999999995</v>
      </c>
      <c r="R39" s="79">
        <f t="shared" si="3"/>
        <v>44.548999999999999</v>
      </c>
      <c r="S39" s="79">
        <f t="shared" si="3"/>
        <v>689.72995000000014</v>
      </c>
      <c r="T39" s="79">
        <f t="shared" si="3"/>
        <v>37.171999999999997</v>
      </c>
      <c r="U39" s="79">
        <f t="shared" si="3"/>
        <v>701.66800000000001</v>
      </c>
      <c r="V39" s="79">
        <f t="shared" si="3"/>
        <v>533.09899999999993</v>
      </c>
      <c r="W39" s="79">
        <f t="shared" si="3"/>
        <v>6460.9150000000009</v>
      </c>
      <c r="X39" s="79">
        <f t="shared" si="3"/>
        <v>1211.4390000000001</v>
      </c>
      <c r="Y39" s="79">
        <f t="shared" si="3"/>
        <v>19768.623999999996</v>
      </c>
      <c r="Z39" s="79">
        <f t="shared" si="3"/>
        <v>14.184999999999999</v>
      </c>
      <c r="AA39" s="79">
        <f t="shared" si="3"/>
        <v>218.315</v>
      </c>
      <c r="AB39" s="79">
        <f t="shared" si="3"/>
        <v>438.471</v>
      </c>
      <c r="AC39" s="79">
        <f t="shared" si="3"/>
        <v>4164.9959500000004</v>
      </c>
      <c r="AD39" s="79">
        <f t="shared" si="3"/>
        <v>2016.9866999999999</v>
      </c>
      <c r="AE39" s="79">
        <f t="shared" si="3"/>
        <v>44306.494000000006</v>
      </c>
      <c r="AF39" s="79">
        <f t="shared" si="3"/>
        <v>177.303</v>
      </c>
      <c r="AG39" s="79">
        <f t="shared" si="3"/>
        <v>2560.9879999999998</v>
      </c>
      <c r="AH39" s="79">
        <f t="shared" si="3"/>
        <v>14.927999999999999</v>
      </c>
      <c r="AI39" s="79">
        <f>SUM(AI3:AI38)</f>
        <v>356.20699999999999</v>
      </c>
      <c r="AJ39" s="79">
        <f t="shared" si="3"/>
        <v>109.693</v>
      </c>
      <c r="AK39" s="79">
        <f t="shared" si="3"/>
        <v>1125.942</v>
      </c>
      <c r="AL39" s="79">
        <f t="shared" si="3"/>
        <v>215.72499999999999</v>
      </c>
      <c r="AM39" s="79">
        <f t="shared" si="3"/>
        <v>7778.3640000000014</v>
      </c>
      <c r="AN39" s="79">
        <f t="shared" si="3"/>
        <v>910.34800000000007</v>
      </c>
      <c r="AO39" s="79">
        <f t="shared" si="3"/>
        <v>19192.500000000004</v>
      </c>
      <c r="AP39" s="79">
        <f t="shared" si="3"/>
        <v>80.553999999999988</v>
      </c>
      <c r="AQ39" s="79">
        <f t="shared" si="3"/>
        <v>1826.7554000000002</v>
      </c>
      <c r="AR39" s="79">
        <f t="shared" si="3"/>
        <v>1774.1064999999999</v>
      </c>
      <c r="AS39" s="79">
        <f t="shared" si="3"/>
        <v>21734.769650000002</v>
      </c>
      <c r="AT39" s="79">
        <f t="shared" si="3"/>
        <v>9567.2281999999996</v>
      </c>
      <c r="AU39" s="79">
        <f t="shared" si="3"/>
        <v>168142.36658999999</v>
      </c>
    </row>
    <row r="40" spans="1:47" ht="30.75" customHeight="1" x14ac:dyDescent="0.25">
      <c r="A40" s="287"/>
      <c r="B40" s="287"/>
      <c r="C40" s="287"/>
      <c r="D40" s="287"/>
    </row>
  </sheetData>
  <mergeCells count="24">
    <mergeCell ref="AL1:AM1"/>
    <mergeCell ref="AN1:AO1"/>
    <mergeCell ref="AP1:AQ1"/>
    <mergeCell ref="AR1:AS1"/>
    <mergeCell ref="AT1:AU1"/>
    <mergeCell ref="AH1:AI1"/>
    <mergeCell ref="AJ1:AK1"/>
    <mergeCell ref="AB1:AC1"/>
    <mergeCell ref="AD1:AE1"/>
    <mergeCell ref="AF1:AG1"/>
    <mergeCell ref="B1:C1"/>
    <mergeCell ref="D1:E1"/>
    <mergeCell ref="F1:G1"/>
    <mergeCell ref="H1:I1"/>
    <mergeCell ref="J1:K1"/>
    <mergeCell ref="L1:M1"/>
    <mergeCell ref="N1:O1"/>
    <mergeCell ref="R1:S1"/>
    <mergeCell ref="T1:U1"/>
    <mergeCell ref="V1:W1"/>
    <mergeCell ref="X1:Y1"/>
    <mergeCell ref="A40:D40"/>
    <mergeCell ref="Z1:AA1"/>
    <mergeCell ref="P1:Q1"/>
  </mergeCells>
  <printOptions horizontalCentered="1" verticalCentered="1"/>
  <pageMargins left="0.17" right="0.25" top="0.5" bottom="0.25" header="0.5" footer="0.25"/>
  <pageSetup scale="65" orientation="landscape" r:id="rId1"/>
  <headerFooter alignWithMargins="0">
    <oddHeader xml:space="preserve">&amp;L&amp;P&amp;C&amp;"Times New Roman,Bold"&amp;14&amp;UArea and Production of Vegetable Crops 2013-14 (3rd Advance Estimates)&amp;R&amp;"Times New Roman,Bold"&amp;8Area in  '  000 Ha 
Production in '000  MT </oddHeader>
  </headerFooter>
  <colBreaks count="3" manualBreakCount="3">
    <brk id="17" max="1048575" man="1"/>
    <brk id="33" max="1048575" man="1"/>
    <brk id="47" max="1048575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workbookViewId="0">
      <pane xSplit="1" ySplit="2" topLeftCell="B3" activePane="bottomRight" state="frozen"/>
      <selection sqref="A1:K2"/>
      <selection pane="topRight" sqref="A1:K2"/>
      <selection pane="bottomLeft" sqref="A1:K2"/>
      <selection pane="bottomRight" activeCell="A33" sqref="A33"/>
    </sheetView>
  </sheetViews>
  <sheetFormatPr defaultRowHeight="17.25" customHeight="1" x14ac:dyDescent="0.2"/>
  <cols>
    <col min="1" max="1" width="28.42578125" style="84" customWidth="1"/>
    <col min="2" max="3" width="13.85546875" style="84" customWidth="1"/>
    <col min="4" max="4" width="14.7109375" style="84" customWidth="1"/>
    <col min="5" max="7" width="13.85546875" style="84" customWidth="1"/>
    <col min="8" max="9" width="15.42578125" style="84" customWidth="1"/>
    <col min="10" max="11" width="15.85546875" style="84" customWidth="1"/>
    <col min="12" max="16384" width="9.140625" style="84"/>
  </cols>
  <sheetData>
    <row r="1" spans="1:11" ht="22.5" customHeight="1" x14ac:dyDescent="0.25">
      <c r="A1" s="74" t="s">
        <v>202</v>
      </c>
      <c r="B1" s="290" t="s">
        <v>122</v>
      </c>
      <c r="C1" s="290"/>
      <c r="D1" s="280" t="s">
        <v>123</v>
      </c>
      <c r="E1" s="280"/>
      <c r="F1" s="280" t="s">
        <v>124</v>
      </c>
      <c r="G1" s="280"/>
      <c r="H1" s="280" t="s">
        <v>125</v>
      </c>
      <c r="I1" s="280"/>
      <c r="J1" s="280" t="s">
        <v>9</v>
      </c>
      <c r="K1" s="280"/>
    </row>
    <row r="2" spans="1:11" ht="17.25" customHeight="1" x14ac:dyDescent="0.25">
      <c r="A2" s="76"/>
      <c r="B2" s="74" t="s">
        <v>48</v>
      </c>
      <c r="C2" s="74" t="s">
        <v>10</v>
      </c>
      <c r="D2" s="74" t="s">
        <v>48</v>
      </c>
      <c r="E2" s="74" t="s">
        <v>10</v>
      </c>
      <c r="F2" s="74" t="s">
        <v>48</v>
      </c>
      <c r="G2" s="74" t="s">
        <v>10</v>
      </c>
      <c r="H2" s="74" t="s">
        <v>48</v>
      </c>
      <c r="I2" s="74" t="s">
        <v>10</v>
      </c>
      <c r="J2" s="74" t="s">
        <v>48</v>
      </c>
      <c r="K2" s="74" t="s">
        <v>10</v>
      </c>
    </row>
    <row r="3" spans="1:11" ht="17.25" customHeight="1" x14ac:dyDescent="0.25">
      <c r="A3" s="77" t="s">
        <v>11</v>
      </c>
      <c r="B3" s="90">
        <v>4.2300000000000004</v>
      </c>
      <c r="C3" s="90">
        <v>5.88</v>
      </c>
      <c r="D3" s="90">
        <v>1.2</v>
      </c>
      <c r="E3" s="90">
        <v>0.38</v>
      </c>
      <c r="F3" s="90"/>
      <c r="G3" s="90"/>
      <c r="H3" s="90">
        <v>21.9</v>
      </c>
      <c r="I3" s="90">
        <v>89.45</v>
      </c>
      <c r="J3" s="92">
        <f>B3+D3+F3+H3</f>
        <v>27.33</v>
      </c>
      <c r="K3" s="92">
        <f>C3+E3+G3+I3</f>
        <v>95.710000000000008</v>
      </c>
    </row>
    <row r="4" spans="1:11" ht="17.25" customHeight="1" x14ac:dyDescent="0.25">
      <c r="A4" s="77" t="s">
        <v>12</v>
      </c>
      <c r="B4" s="90">
        <v>0.57999999999999996</v>
      </c>
      <c r="C4" s="90">
        <v>0.36</v>
      </c>
      <c r="D4" s="90">
        <v>184.95</v>
      </c>
      <c r="E4" s="90">
        <v>100.42</v>
      </c>
      <c r="F4" s="90">
        <v>22.21</v>
      </c>
      <c r="G4" s="90">
        <v>5.6</v>
      </c>
      <c r="H4" s="90">
        <v>133.428</v>
      </c>
      <c r="I4" s="90">
        <v>1377.19</v>
      </c>
      <c r="J4" s="92">
        <f t="shared" ref="J4:K37" si="0">B4+D4+F4+H4</f>
        <v>341.16800000000001</v>
      </c>
      <c r="K4" s="92">
        <f t="shared" si="0"/>
        <v>1483.5700000000002</v>
      </c>
    </row>
    <row r="5" spans="1:11" ht="17.25" customHeight="1" x14ac:dyDescent="0.25">
      <c r="A5" s="80" t="s">
        <v>13</v>
      </c>
      <c r="B5" s="90"/>
      <c r="C5" s="90"/>
      <c r="D5" s="90">
        <v>1</v>
      </c>
      <c r="E5" s="90">
        <v>0.56000000000000005</v>
      </c>
      <c r="F5" s="90"/>
      <c r="G5" s="90"/>
      <c r="H5" s="90"/>
      <c r="I5" s="90"/>
      <c r="J5" s="92">
        <f t="shared" si="0"/>
        <v>1</v>
      </c>
      <c r="K5" s="92">
        <f t="shared" si="0"/>
        <v>0.56000000000000005</v>
      </c>
    </row>
    <row r="6" spans="1:11" ht="17.25" customHeight="1" x14ac:dyDescent="0.25">
      <c r="A6" s="77" t="s">
        <v>14</v>
      </c>
      <c r="B6" s="90">
        <v>75.06</v>
      </c>
      <c r="C6" s="90">
        <v>72.58</v>
      </c>
      <c r="D6" s="90"/>
      <c r="E6" s="90"/>
      <c r="F6" s="90"/>
      <c r="G6" s="90"/>
      <c r="H6" s="90">
        <v>22.375</v>
      </c>
      <c r="I6" s="90">
        <v>111.36</v>
      </c>
      <c r="J6" s="92">
        <f t="shared" si="0"/>
        <v>97.435000000000002</v>
      </c>
      <c r="K6" s="92">
        <f t="shared" si="0"/>
        <v>183.94</v>
      </c>
    </row>
    <row r="7" spans="1:11" ht="17.25" customHeight="1" x14ac:dyDescent="0.25">
      <c r="A7" s="77" t="s">
        <v>15</v>
      </c>
      <c r="B7" s="90"/>
      <c r="C7" s="90"/>
      <c r="D7" s="90"/>
      <c r="E7" s="90"/>
      <c r="F7" s="90"/>
      <c r="G7" s="90"/>
      <c r="H7" s="90">
        <v>15.263</v>
      </c>
      <c r="I7" s="90">
        <v>96.926000000000002</v>
      </c>
      <c r="J7" s="92">
        <f t="shared" si="0"/>
        <v>15.263</v>
      </c>
      <c r="K7" s="92">
        <f t="shared" si="0"/>
        <v>96.926000000000002</v>
      </c>
    </row>
    <row r="8" spans="1:11" ht="17.25" customHeight="1" x14ac:dyDescent="0.25">
      <c r="A8" s="77" t="s">
        <v>55</v>
      </c>
      <c r="B8" s="90"/>
      <c r="C8" s="90"/>
      <c r="D8" s="90">
        <v>17</v>
      </c>
      <c r="E8" s="90">
        <v>10.37</v>
      </c>
      <c r="F8" s="90"/>
      <c r="G8" s="90"/>
      <c r="H8" s="90">
        <v>1.52</v>
      </c>
      <c r="I8" s="90">
        <v>15.21</v>
      </c>
      <c r="J8" s="92">
        <f t="shared" si="0"/>
        <v>18.52</v>
      </c>
      <c r="K8" s="92">
        <f t="shared" si="0"/>
        <v>25.58</v>
      </c>
    </row>
    <row r="9" spans="1:11" ht="17.25" customHeight="1" x14ac:dyDescent="0.25">
      <c r="A9" s="77" t="s">
        <v>16</v>
      </c>
      <c r="B9" s="90"/>
      <c r="C9" s="90"/>
      <c r="D9" s="90"/>
      <c r="E9" s="90"/>
      <c r="F9" s="90"/>
      <c r="G9" s="90"/>
      <c r="H9" s="90"/>
      <c r="I9" s="90"/>
      <c r="J9" s="92">
        <f t="shared" si="0"/>
        <v>0</v>
      </c>
      <c r="K9" s="92">
        <f t="shared" si="0"/>
        <v>0</v>
      </c>
    </row>
    <row r="10" spans="1:11" ht="17.25" customHeight="1" x14ac:dyDescent="0.25">
      <c r="A10" s="77" t="s">
        <v>17</v>
      </c>
      <c r="B10" s="90"/>
      <c r="C10" s="90"/>
      <c r="D10" s="90"/>
      <c r="E10" s="90"/>
      <c r="F10" s="90"/>
      <c r="G10" s="90"/>
      <c r="H10" s="90"/>
      <c r="I10" s="90"/>
      <c r="J10" s="92">
        <f t="shared" si="0"/>
        <v>0</v>
      </c>
      <c r="K10" s="92">
        <f t="shared" si="0"/>
        <v>0</v>
      </c>
    </row>
    <row r="11" spans="1:11" ht="17.25" customHeight="1" x14ac:dyDescent="0.25">
      <c r="A11" s="77" t="s">
        <v>18</v>
      </c>
      <c r="B11" s="90"/>
      <c r="C11" s="90"/>
      <c r="D11" s="90"/>
      <c r="E11" s="90"/>
      <c r="F11" s="90"/>
      <c r="G11" s="90"/>
      <c r="H11" s="90"/>
      <c r="I11" s="90"/>
      <c r="J11" s="92">
        <f t="shared" si="0"/>
        <v>0</v>
      </c>
      <c r="K11" s="92">
        <f t="shared" si="0"/>
        <v>0</v>
      </c>
    </row>
    <row r="12" spans="1:11" ht="17.25" customHeight="1" x14ac:dyDescent="0.25">
      <c r="A12" s="77" t="s">
        <v>19</v>
      </c>
      <c r="B12" s="90">
        <v>1.73</v>
      </c>
      <c r="C12" s="90">
        <v>2.87</v>
      </c>
      <c r="D12" s="90">
        <v>57.97</v>
      </c>
      <c r="E12" s="90">
        <v>32.35</v>
      </c>
      <c r="F12" s="90"/>
      <c r="G12" s="90"/>
      <c r="H12" s="90">
        <v>25.75</v>
      </c>
      <c r="I12" s="90">
        <v>88.18</v>
      </c>
      <c r="J12" s="92">
        <f t="shared" si="0"/>
        <v>85.449999999999989</v>
      </c>
      <c r="K12" s="92">
        <f t="shared" si="0"/>
        <v>123.4</v>
      </c>
    </row>
    <row r="13" spans="1:11" ht="17.25" customHeight="1" x14ac:dyDescent="0.25">
      <c r="A13" s="77" t="s">
        <v>20</v>
      </c>
      <c r="B13" s="90"/>
      <c r="C13" s="90"/>
      <c r="D13" s="90">
        <v>7.97</v>
      </c>
      <c r="E13" s="90">
        <v>24.52</v>
      </c>
      <c r="F13" s="90"/>
      <c r="G13" s="90"/>
      <c r="H13" s="90">
        <v>21.12</v>
      </c>
      <c r="I13" s="90">
        <v>221.88</v>
      </c>
      <c r="J13" s="92">
        <f t="shared" si="0"/>
        <v>29.09</v>
      </c>
      <c r="K13" s="92">
        <f t="shared" si="0"/>
        <v>246.4</v>
      </c>
    </row>
    <row r="14" spans="1:11" ht="17.25" customHeight="1" x14ac:dyDescent="0.25">
      <c r="A14" s="77" t="s">
        <v>21</v>
      </c>
      <c r="B14" s="90"/>
      <c r="C14" s="90"/>
      <c r="D14" s="90"/>
      <c r="E14" s="90"/>
      <c r="F14" s="90"/>
      <c r="G14" s="90"/>
      <c r="H14" s="90"/>
      <c r="I14" s="90"/>
      <c r="J14" s="92">
        <f t="shared" si="0"/>
        <v>0</v>
      </c>
      <c r="K14" s="92">
        <f t="shared" si="0"/>
        <v>0</v>
      </c>
    </row>
    <row r="15" spans="1:11" ht="17.25" customHeight="1" x14ac:dyDescent="0.25">
      <c r="A15" s="77" t="s">
        <v>22</v>
      </c>
      <c r="B15" s="90"/>
      <c r="C15" s="90"/>
      <c r="D15" s="90"/>
      <c r="E15" s="90"/>
      <c r="F15" s="90"/>
      <c r="G15" s="90"/>
      <c r="H15" s="90"/>
      <c r="I15" s="90"/>
      <c r="J15" s="92">
        <f t="shared" si="0"/>
        <v>0</v>
      </c>
      <c r="K15" s="92">
        <f t="shared" si="0"/>
        <v>0</v>
      </c>
    </row>
    <row r="16" spans="1:11" ht="17.25" customHeight="1" x14ac:dyDescent="0.25">
      <c r="A16" s="77" t="s">
        <v>23</v>
      </c>
      <c r="B16" s="90"/>
      <c r="C16" s="90"/>
      <c r="D16" s="90"/>
      <c r="E16" s="90"/>
      <c r="F16" s="90"/>
      <c r="G16" s="90"/>
      <c r="H16" s="90"/>
      <c r="I16" s="90"/>
      <c r="J16" s="92">
        <f t="shared" si="0"/>
        <v>0</v>
      </c>
      <c r="K16" s="92">
        <f t="shared" si="0"/>
        <v>0</v>
      </c>
    </row>
    <row r="17" spans="1:11" ht="17.25" customHeight="1" x14ac:dyDescent="0.25">
      <c r="A17" s="77" t="s">
        <v>24</v>
      </c>
      <c r="B17" s="90"/>
      <c r="C17" s="90"/>
      <c r="D17" s="90">
        <v>15</v>
      </c>
      <c r="E17" s="90">
        <v>1.2</v>
      </c>
      <c r="F17" s="90"/>
      <c r="G17" s="90"/>
      <c r="H17" s="90"/>
      <c r="I17" s="90"/>
      <c r="J17" s="92">
        <f t="shared" si="0"/>
        <v>15</v>
      </c>
      <c r="K17" s="92">
        <f t="shared" si="0"/>
        <v>1.2</v>
      </c>
    </row>
    <row r="18" spans="1:11" s="94" customFormat="1" ht="17.25" customHeight="1" x14ac:dyDescent="0.25">
      <c r="A18" s="77" t="s">
        <v>161</v>
      </c>
      <c r="B18" s="90">
        <v>221.37</v>
      </c>
      <c r="C18" s="90">
        <v>358.61</v>
      </c>
      <c r="D18" s="90">
        <v>124.11</v>
      </c>
      <c r="E18" s="90">
        <v>80.61</v>
      </c>
      <c r="F18" s="90">
        <v>11.683</v>
      </c>
      <c r="G18" s="93">
        <v>2.1419999999999999</v>
      </c>
      <c r="H18" s="90">
        <v>517.29999999999995</v>
      </c>
      <c r="I18" s="90">
        <v>3469.62</v>
      </c>
      <c r="J18" s="92">
        <f t="shared" si="0"/>
        <v>874.46299999999997</v>
      </c>
      <c r="K18" s="92">
        <f t="shared" si="0"/>
        <v>3910.982</v>
      </c>
    </row>
    <row r="19" spans="1:11" ht="17.25" customHeight="1" x14ac:dyDescent="0.25">
      <c r="A19" s="77" t="s">
        <v>26</v>
      </c>
      <c r="B19" s="90">
        <v>102.09</v>
      </c>
      <c r="C19" s="90">
        <v>113.36</v>
      </c>
      <c r="D19" s="90">
        <v>84.93</v>
      </c>
      <c r="E19" s="90">
        <v>83.12</v>
      </c>
      <c r="F19" s="90">
        <v>13.483000000000001</v>
      </c>
      <c r="G19" s="90">
        <v>6.32</v>
      </c>
      <c r="H19" s="90">
        <v>798.16200000000003</v>
      </c>
      <c r="I19" s="90">
        <v>3990.39</v>
      </c>
      <c r="J19" s="92">
        <f t="shared" si="0"/>
        <v>998.66500000000008</v>
      </c>
      <c r="K19" s="92">
        <f t="shared" si="0"/>
        <v>4193.1899999999996</v>
      </c>
    </row>
    <row r="20" spans="1:11" ht="17.25" customHeight="1" x14ac:dyDescent="0.25">
      <c r="A20" s="77" t="s">
        <v>56</v>
      </c>
      <c r="B20" s="90"/>
      <c r="C20" s="90"/>
      <c r="D20" s="90"/>
      <c r="E20" s="90"/>
      <c r="F20" s="90"/>
      <c r="G20" s="90"/>
      <c r="H20" s="90">
        <v>2.57</v>
      </c>
      <c r="I20" s="90">
        <v>48.8</v>
      </c>
      <c r="J20" s="92">
        <f t="shared" si="0"/>
        <v>2.57</v>
      </c>
      <c r="K20" s="92">
        <f t="shared" si="0"/>
        <v>48.8</v>
      </c>
    </row>
    <row r="21" spans="1:11" ht="17.25" customHeight="1" x14ac:dyDescent="0.25">
      <c r="A21" s="77" t="s">
        <v>27</v>
      </c>
      <c r="B21" s="90"/>
      <c r="C21" s="90"/>
      <c r="D21" s="90"/>
      <c r="E21" s="90"/>
      <c r="F21" s="90"/>
      <c r="G21" s="90"/>
      <c r="H21" s="90"/>
      <c r="I21" s="90"/>
      <c r="J21" s="92">
        <f t="shared" si="0"/>
        <v>0</v>
      </c>
      <c r="K21" s="92">
        <f t="shared" si="0"/>
        <v>0</v>
      </c>
    </row>
    <row r="22" spans="1:11" ht="17.25" customHeight="1" x14ac:dyDescent="0.25">
      <c r="A22" s="77" t="s">
        <v>28</v>
      </c>
      <c r="B22" s="90">
        <v>2.2000000000000002</v>
      </c>
      <c r="C22" s="90">
        <v>3.58</v>
      </c>
      <c r="D22" s="90">
        <v>184.2</v>
      </c>
      <c r="E22" s="90">
        <v>242.61</v>
      </c>
      <c r="F22" s="90"/>
      <c r="G22" s="90"/>
      <c r="H22" s="90">
        <v>28.082000000000001</v>
      </c>
      <c r="I22" s="90">
        <v>129.02000000000001</v>
      </c>
      <c r="J22" s="92">
        <f t="shared" si="0"/>
        <v>214.48199999999997</v>
      </c>
      <c r="K22" s="92">
        <f t="shared" si="0"/>
        <v>375.21000000000004</v>
      </c>
    </row>
    <row r="23" spans="1:11" ht="17.25" customHeight="1" x14ac:dyDescent="0.25">
      <c r="A23" s="81" t="s">
        <v>29</v>
      </c>
      <c r="B23" s="90"/>
      <c r="C23" s="90"/>
      <c r="D23" s="90"/>
      <c r="E23" s="90"/>
      <c r="F23" s="90"/>
      <c r="G23" s="90"/>
      <c r="H23" s="95"/>
      <c r="I23" s="90"/>
      <c r="J23" s="92">
        <f t="shared" si="0"/>
        <v>0</v>
      </c>
      <c r="K23" s="92">
        <f t="shared" si="0"/>
        <v>0</v>
      </c>
    </row>
    <row r="24" spans="1:11" ht="17.25" customHeight="1" x14ac:dyDescent="0.25">
      <c r="A24" s="77" t="s">
        <v>30</v>
      </c>
      <c r="B24" s="90">
        <v>14.62</v>
      </c>
      <c r="C24" s="90">
        <v>19.829999999999998</v>
      </c>
      <c r="D24" s="90">
        <v>8.5</v>
      </c>
      <c r="E24" s="90">
        <v>10.11</v>
      </c>
      <c r="F24" s="90"/>
      <c r="G24" s="90"/>
      <c r="H24" s="90"/>
      <c r="I24" s="90"/>
      <c r="J24" s="92">
        <f t="shared" si="0"/>
        <v>23.119999999999997</v>
      </c>
      <c r="K24" s="92">
        <f t="shared" si="0"/>
        <v>29.939999999999998</v>
      </c>
    </row>
    <row r="25" spans="1:11" ht="17.25" customHeight="1" x14ac:dyDescent="0.25">
      <c r="A25" s="77" t="s">
        <v>31</v>
      </c>
      <c r="B25" s="90">
        <v>7.57</v>
      </c>
      <c r="C25" s="90">
        <v>4.32</v>
      </c>
      <c r="D25" s="90">
        <v>2E-3</v>
      </c>
      <c r="E25" s="90">
        <v>2E-3</v>
      </c>
      <c r="F25" s="90"/>
      <c r="G25" s="90"/>
      <c r="H25" s="90">
        <v>0.06</v>
      </c>
      <c r="I25" s="90">
        <v>0.112</v>
      </c>
      <c r="J25" s="92">
        <f t="shared" si="0"/>
        <v>7.6319999999999997</v>
      </c>
      <c r="K25" s="92">
        <f t="shared" si="0"/>
        <v>4.4340000000000002</v>
      </c>
    </row>
    <row r="26" spans="1:11" ht="17.25" customHeight="1" x14ac:dyDescent="0.25">
      <c r="A26" s="80" t="s">
        <v>32</v>
      </c>
      <c r="B26" s="90">
        <v>0.22</v>
      </c>
      <c r="C26" s="90">
        <v>0.12</v>
      </c>
      <c r="D26" s="90"/>
      <c r="E26" s="90"/>
      <c r="F26" s="90"/>
      <c r="G26" s="90"/>
      <c r="H26" s="90">
        <v>1.4</v>
      </c>
      <c r="I26" s="90">
        <v>11.2</v>
      </c>
      <c r="J26" s="92">
        <f t="shared" si="0"/>
        <v>1.6199999999999999</v>
      </c>
      <c r="K26" s="92">
        <f t="shared" si="0"/>
        <v>11.319999999999999</v>
      </c>
    </row>
    <row r="27" spans="1:11" ht="17.25" customHeight="1" x14ac:dyDescent="0.25">
      <c r="A27" s="77" t="s">
        <v>189</v>
      </c>
      <c r="B27" s="90"/>
      <c r="C27" s="90"/>
      <c r="D27" s="90">
        <v>166.91</v>
      </c>
      <c r="E27" s="90">
        <v>85.71</v>
      </c>
      <c r="F27" s="90"/>
      <c r="G27" s="90"/>
      <c r="H27" s="90">
        <v>50.78</v>
      </c>
      <c r="I27" s="90">
        <v>492</v>
      </c>
      <c r="J27" s="92">
        <f t="shared" si="0"/>
        <v>217.69</v>
      </c>
      <c r="K27" s="92">
        <f t="shared" si="0"/>
        <v>577.71</v>
      </c>
    </row>
    <row r="28" spans="1:11" ht="17.25" customHeight="1" x14ac:dyDescent="0.25">
      <c r="A28" s="80" t="s">
        <v>167</v>
      </c>
      <c r="B28" s="90">
        <v>0.06</v>
      </c>
      <c r="C28" s="90">
        <v>0.08</v>
      </c>
      <c r="D28" s="90"/>
      <c r="E28" s="90"/>
      <c r="F28" s="90"/>
      <c r="G28" s="90"/>
      <c r="H28" s="90">
        <v>1.958</v>
      </c>
      <c r="I28" s="90">
        <v>23.46</v>
      </c>
      <c r="J28" s="92">
        <f t="shared" si="0"/>
        <v>2.0179999999999998</v>
      </c>
      <c r="K28" s="92">
        <f t="shared" si="0"/>
        <v>23.54</v>
      </c>
    </row>
    <row r="29" spans="1:11" ht="17.25" customHeight="1" x14ac:dyDescent="0.25">
      <c r="A29" s="77" t="s">
        <v>33</v>
      </c>
      <c r="B29" s="90"/>
      <c r="C29" s="90"/>
      <c r="D29" s="90"/>
      <c r="E29" s="90"/>
      <c r="F29" s="90"/>
      <c r="G29" s="90"/>
      <c r="H29" s="90"/>
      <c r="I29" s="90"/>
      <c r="J29" s="92">
        <f t="shared" si="0"/>
        <v>0</v>
      </c>
      <c r="K29" s="92">
        <f t="shared" si="0"/>
        <v>0</v>
      </c>
    </row>
    <row r="30" spans="1:11" ht="17.25" customHeight="1" x14ac:dyDescent="0.25">
      <c r="A30" s="77" t="s">
        <v>34</v>
      </c>
      <c r="B30" s="90"/>
      <c r="C30" s="90"/>
      <c r="D30" s="90"/>
      <c r="E30" s="90"/>
      <c r="F30" s="90"/>
      <c r="G30" s="90"/>
      <c r="H30" s="90"/>
      <c r="I30" s="90"/>
      <c r="J30" s="92">
        <f t="shared" si="0"/>
        <v>0</v>
      </c>
      <c r="K30" s="92">
        <f t="shared" si="0"/>
        <v>0</v>
      </c>
    </row>
    <row r="31" spans="1:11" ht="17.25" customHeight="1" x14ac:dyDescent="0.25">
      <c r="A31" s="77" t="s">
        <v>35</v>
      </c>
      <c r="B31" s="90"/>
      <c r="C31" s="90"/>
      <c r="D31" s="90"/>
      <c r="E31" s="90"/>
      <c r="F31" s="90"/>
      <c r="G31" s="90"/>
      <c r="H31" s="90"/>
      <c r="I31" s="90"/>
      <c r="J31" s="92">
        <f t="shared" si="0"/>
        <v>0</v>
      </c>
      <c r="K31" s="92">
        <f t="shared" si="0"/>
        <v>0</v>
      </c>
    </row>
    <row r="32" spans="1:11" ht="17.25" customHeight="1" x14ac:dyDescent="0.25">
      <c r="A32" s="77" t="s">
        <v>36</v>
      </c>
      <c r="B32" s="90">
        <v>6.06</v>
      </c>
      <c r="C32" s="90">
        <v>13.2</v>
      </c>
      <c r="D32" s="90">
        <v>139.41999999999999</v>
      </c>
      <c r="E32" s="90">
        <v>67.39</v>
      </c>
      <c r="F32" s="95">
        <v>23.989000000000001</v>
      </c>
      <c r="G32" s="95">
        <v>1.071</v>
      </c>
      <c r="H32" s="90">
        <v>465.108</v>
      </c>
      <c r="I32" s="90">
        <v>4760.67</v>
      </c>
      <c r="J32" s="92">
        <f t="shared" si="0"/>
        <v>634.577</v>
      </c>
      <c r="K32" s="92">
        <f t="shared" si="0"/>
        <v>4842.3310000000001</v>
      </c>
    </row>
    <row r="33" spans="1:11" ht="17.25" customHeight="1" x14ac:dyDescent="0.25">
      <c r="A33" s="77"/>
      <c r="B33" s="90"/>
      <c r="C33" s="90"/>
      <c r="D33" s="90"/>
      <c r="E33" s="90"/>
      <c r="F33" s="95"/>
      <c r="G33" s="95"/>
      <c r="H33" s="90"/>
      <c r="I33" s="90"/>
      <c r="J33" s="92"/>
      <c r="K33" s="92"/>
    </row>
    <row r="34" spans="1:11" ht="17.25" customHeight="1" x14ac:dyDescent="0.25">
      <c r="A34" s="77" t="s">
        <v>37</v>
      </c>
      <c r="B34" s="90">
        <v>4.7</v>
      </c>
      <c r="C34" s="90">
        <v>9.92</v>
      </c>
      <c r="D34" s="90">
        <v>4.2</v>
      </c>
      <c r="E34" s="90">
        <v>5.0999999999999996</v>
      </c>
      <c r="F34" s="90"/>
      <c r="G34" s="90"/>
      <c r="H34" s="90">
        <v>6.48</v>
      </c>
      <c r="I34" s="90">
        <v>19</v>
      </c>
      <c r="J34" s="92">
        <f t="shared" si="0"/>
        <v>15.38</v>
      </c>
      <c r="K34" s="92">
        <f t="shared" si="0"/>
        <v>34.019999999999996</v>
      </c>
    </row>
    <row r="35" spans="1:11" ht="17.25" customHeight="1" x14ac:dyDescent="0.25">
      <c r="A35" s="77" t="s">
        <v>38</v>
      </c>
      <c r="B35" s="90"/>
      <c r="C35" s="90"/>
      <c r="D35" s="90"/>
      <c r="E35" s="90"/>
      <c r="F35" s="90"/>
      <c r="G35" s="90"/>
      <c r="H35" s="90"/>
      <c r="I35" s="90"/>
      <c r="J35" s="92">
        <f t="shared" si="0"/>
        <v>0</v>
      </c>
      <c r="K35" s="92">
        <f t="shared" si="0"/>
        <v>0</v>
      </c>
    </row>
    <row r="36" spans="1:11" ht="17.25" customHeight="1" x14ac:dyDescent="0.25">
      <c r="A36" s="77" t="s">
        <v>90</v>
      </c>
      <c r="B36" s="90"/>
      <c r="C36" s="90"/>
      <c r="D36" s="90"/>
      <c r="E36" s="90"/>
      <c r="F36" s="90"/>
      <c r="G36" s="90"/>
      <c r="H36" s="90"/>
      <c r="I36" s="90"/>
      <c r="J36" s="92">
        <f t="shared" si="0"/>
        <v>0</v>
      </c>
      <c r="K36" s="92">
        <f t="shared" si="0"/>
        <v>0</v>
      </c>
    </row>
    <row r="37" spans="1:11" ht="17.25" customHeight="1" x14ac:dyDescent="0.25">
      <c r="A37" s="77" t="s">
        <v>40</v>
      </c>
      <c r="B37" s="90">
        <v>11.39</v>
      </c>
      <c r="C37" s="90">
        <v>21.16</v>
      </c>
      <c r="D37" s="90">
        <v>11.16</v>
      </c>
      <c r="E37" s="90">
        <v>13.03</v>
      </c>
      <c r="F37" s="90"/>
      <c r="G37" s="90"/>
      <c r="H37" s="90">
        <v>29.3</v>
      </c>
      <c r="I37" s="90">
        <v>255.22</v>
      </c>
      <c r="J37" s="92">
        <f t="shared" si="0"/>
        <v>51.85</v>
      </c>
      <c r="K37" s="92">
        <f t="shared" si="0"/>
        <v>289.40999999999997</v>
      </c>
    </row>
    <row r="38" spans="1:11" ht="17.25" customHeight="1" x14ac:dyDescent="0.25">
      <c r="A38" s="77"/>
      <c r="B38" s="90"/>
      <c r="C38" s="90"/>
      <c r="D38" s="90"/>
      <c r="E38" s="90"/>
      <c r="F38" s="96"/>
      <c r="G38" s="96"/>
      <c r="H38" s="90"/>
      <c r="I38" s="90"/>
      <c r="J38" s="90"/>
      <c r="K38" s="90"/>
    </row>
    <row r="39" spans="1:11" ht="17.25" customHeight="1" x14ac:dyDescent="0.25">
      <c r="A39" s="77" t="s">
        <v>9</v>
      </c>
      <c r="B39" s="97">
        <f>SUM(B3:B38)</f>
        <v>451.88000000000005</v>
      </c>
      <c r="C39" s="97">
        <f t="shared" ref="C39:K39" si="1">SUM(C3:C38)</f>
        <v>625.87000000000012</v>
      </c>
      <c r="D39" s="97">
        <f t="shared" si="1"/>
        <v>1008.5219999999999</v>
      </c>
      <c r="E39" s="97">
        <f t="shared" si="1"/>
        <v>757.48200000000008</v>
      </c>
      <c r="F39" s="97">
        <f t="shared" si="1"/>
        <v>71.365000000000009</v>
      </c>
      <c r="G39" s="97">
        <f t="shared" si="1"/>
        <v>15.132999999999999</v>
      </c>
      <c r="H39" s="97">
        <f t="shared" si="1"/>
        <v>2142.5560000000005</v>
      </c>
      <c r="I39" s="97">
        <f t="shared" si="1"/>
        <v>15199.687999999998</v>
      </c>
      <c r="J39" s="97">
        <f t="shared" si="1"/>
        <v>3674.3229999999999</v>
      </c>
      <c r="K39" s="97">
        <f t="shared" si="1"/>
        <v>16598.172999999999</v>
      </c>
    </row>
    <row r="40" spans="1:11" ht="17.25" customHeight="1" x14ac:dyDescent="0.25">
      <c r="A40" s="98" t="s">
        <v>192</v>
      </c>
      <c r="B40" s="94"/>
      <c r="C40" s="94"/>
      <c r="D40" s="94"/>
      <c r="E40" s="94"/>
      <c r="F40" s="94"/>
      <c r="G40" s="94"/>
      <c r="H40" s="94"/>
      <c r="I40" s="94"/>
    </row>
    <row r="41" spans="1:11" ht="17.25" customHeight="1" x14ac:dyDescent="0.25">
      <c r="A41" s="289" t="s">
        <v>194</v>
      </c>
      <c r="B41" s="289"/>
      <c r="C41" s="289"/>
      <c r="D41" s="289"/>
      <c r="E41" s="289"/>
      <c r="F41" s="99"/>
      <c r="G41" s="99"/>
      <c r="H41" s="99"/>
      <c r="I41" s="99"/>
    </row>
    <row r="42" spans="1:11" ht="17.25" customHeight="1" x14ac:dyDescent="0.25">
      <c r="A42" s="100" t="s">
        <v>196</v>
      </c>
      <c r="B42" s="100"/>
      <c r="C42" s="100"/>
      <c r="D42" s="100"/>
      <c r="E42" s="100"/>
      <c r="F42" s="100"/>
      <c r="G42" s="100"/>
      <c r="H42" s="100"/>
      <c r="I42" s="100"/>
    </row>
    <row r="43" spans="1:11" ht="17.25" customHeight="1" x14ac:dyDescent="0.25">
      <c r="A43" s="99" t="s">
        <v>195</v>
      </c>
      <c r="B43" s="99"/>
      <c r="C43" s="99"/>
      <c r="D43" s="99"/>
      <c r="E43" s="99"/>
      <c r="F43" s="99"/>
      <c r="G43" s="99"/>
      <c r="H43" s="99"/>
      <c r="I43" s="99"/>
    </row>
    <row r="44" spans="1:11" ht="17.25" customHeight="1" x14ac:dyDescent="0.25">
      <c r="A44" s="99" t="s">
        <v>193</v>
      </c>
      <c r="B44" s="99"/>
      <c r="C44" s="99"/>
      <c r="D44" s="99"/>
      <c r="E44" s="99"/>
      <c r="F44" s="99"/>
      <c r="G44" s="99"/>
      <c r="H44" s="99"/>
      <c r="I44" s="99"/>
    </row>
    <row r="45" spans="1:11" ht="17.25" customHeight="1" x14ac:dyDescent="0.2">
      <c r="A45" s="101"/>
      <c r="B45" s="101"/>
      <c r="C45" s="101"/>
      <c r="D45" s="101"/>
      <c r="E45" s="101"/>
      <c r="F45" s="101"/>
      <c r="G45" s="101"/>
      <c r="H45" s="101"/>
      <c r="I45" s="101"/>
    </row>
  </sheetData>
  <mergeCells count="6">
    <mergeCell ref="J1:K1"/>
    <mergeCell ref="A41:E41"/>
    <mergeCell ref="B1:C1"/>
    <mergeCell ref="D1:E1"/>
    <mergeCell ref="F1:G1"/>
    <mergeCell ref="H1:I1"/>
  </mergeCells>
  <printOptions horizontalCentered="1" verticalCentered="1"/>
  <pageMargins left="0.46" right="0.17" top="0.5" bottom="0.22" header="0.28999999999999998" footer="0.16"/>
  <pageSetup scale="74" orientation="landscape" r:id="rId1"/>
  <headerFooter alignWithMargins="0">
    <oddHeader>&amp;C&amp;"Times New Roman,Bold"&amp;14Area and Production of Plantation Crops 2013-14 (3rd Advance Estimate)&amp;R&amp;"Times New Roman,Bold"&amp;8Area in '000 Ha
Production in '000 MT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pane xSplit="1" ySplit="2" topLeftCell="B27" activePane="bottomRight" state="frozen"/>
      <selection sqref="A1:K2"/>
      <selection pane="topRight" sqref="A1:K2"/>
      <selection pane="bottomLeft" sqref="A1:K2"/>
      <selection pane="bottomRight" activeCell="A30" sqref="A30"/>
    </sheetView>
  </sheetViews>
  <sheetFormatPr defaultRowHeight="15" x14ac:dyDescent="0.2"/>
  <cols>
    <col min="1" max="1" width="32.42578125" style="84" customWidth="1"/>
    <col min="2" max="37" width="10.42578125" style="84" customWidth="1"/>
    <col min="38" max="16384" width="9.140625" style="84"/>
  </cols>
  <sheetData>
    <row r="1" spans="1:37" ht="26.25" customHeight="1" x14ac:dyDescent="0.25">
      <c r="A1" s="74" t="s">
        <v>202</v>
      </c>
      <c r="B1" s="291" t="s">
        <v>126</v>
      </c>
      <c r="C1" s="291"/>
      <c r="D1" s="291" t="s">
        <v>127</v>
      </c>
      <c r="E1" s="291"/>
      <c r="F1" s="291" t="s">
        <v>183</v>
      </c>
      <c r="G1" s="291"/>
      <c r="H1" s="291" t="s">
        <v>128</v>
      </c>
      <c r="I1" s="291"/>
      <c r="J1" s="291" t="s">
        <v>129</v>
      </c>
      <c r="K1" s="291"/>
      <c r="L1" s="291" t="s">
        <v>130</v>
      </c>
      <c r="M1" s="291"/>
      <c r="N1" s="291" t="s">
        <v>131</v>
      </c>
      <c r="O1" s="291"/>
      <c r="P1" s="291" t="s">
        <v>132</v>
      </c>
      <c r="Q1" s="291"/>
      <c r="R1" s="291" t="s">
        <v>133</v>
      </c>
      <c r="S1" s="291"/>
      <c r="T1" s="291" t="s">
        <v>216</v>
      </c>
      <c r="U1" s="291"/>
      <c r="V1" s="291" t="s">
        <v>134</v>
      </c>
      <c r="W1" s="291"/>
      <c r="X1" s="291" t="s">
        <v>184</v>
      </c>
      <c r="Y1" s="291"/>
      <c r="Z1" s="292" t="s">
        <v>185</v>
      </c>
      <c r="AA1" s="292"/>
      <c r="AB1" s="291" t="s">
        <v>135</v>
      </c>
      <c r="AC1" s="291"/>
      <c r="AD1" s="291" t="s">
        <v>136</v>
      </c>
      <c r="AE1" s="291"/>
      <c r="AF1" s="291" t="s">
        <v>137</v>
      </c>
      <c r="AG1" s="291"/>
      <c r="AH1" s="291" t="s">
        <v>186</v>
      </c>
      <c r="AI1" s="291"/>
      <c r="AJ1" s="291" t="s">
        <v>53</v>
      </c>
      <c r="AK1" s="291"/>
    </row>
    <row r="2" spans="1:37" ht="17.25" customHeight="1" x14ac:dyDescent="0.25">
      <c r="A2" s="76"/>
      <c r="B2" s="102" t="s">
        <v>48</v>
      </c>
      <c r="C2" s="102" t="s">
        <v>10</v>
      </c>
      <c r="D2" s="102" t="s">
        <v>48</v>
      </c>
      <c r="E2" s="102" t="s">
        <v>10</v>
      </c>
      <c r="F2" s="102" t="s">
        <v>48</v>
      </c>
      <c r="G2" s="102" t="s">
        <v>10</v>
      </c>
      <c r="H2" s="102" t="s">
        <v>48</v>
      </c>
      <c r="I2" s="102" t="s">
        <v>10</v>
      </c>
      <c r="J2" s="102" t="s">
        <v>48</v>
      </c>
      <c r="K2" s="102" t="s">
        <v>10</v>
      </c>
      <c r="L2" s="102" t="s">
        <v>48</v>
      </c>
      <c r="M2" s="102" t="s">
        <v>10</v>
      </c>
      <c r="N2" s="102" t="s">
        <v>48</v>
      </c>
      <c r="O2" s="102" t="s">
        <v>10</v>
      </c>
      <c r="P2" s="102" t="s">
        <v>48</v>
      </c>
      <c r="Q2" s="102" t="s">
        <v>10</v>
      </c>
      <c r="R2" s="102" t="s">
        <v>48</v>
      </c>
      <c r="S2" s="102" t="s">
        <v>10</v>
      </c>
      <c r="T2" s="102" t="s">
        <v>48</v>
      </c>
      <c r="U2" s="102" t="s">
        <v>10</v>
      </c>
      <c r="V2" s="102" t="s">
        <v>48</v>
      </c>
      <c r="W2" s="102" t="s">
        <v>10</v>
      </c>
      <c r="X2" s="102" t="s">
        <v>48</v>
      </c>
      <c r="Y2" s="102" t="s">
        <v>10</v>
      </c>
      <c r="Z2" s="102" t="s">
        <v>48</v>
      </c>
      <c r="AA2" s="102" t="s">
        <v>10</v>
      </c>
      <c r="AB2" s="102" t="s">
        <v>48</v>
      </c>
      <c r="AC2" s="102" t="s">
        <v>10</v>
      </c>
      <c r="AD2" s="102" t="s">
        <v>48</v>
      </c>
      <c r="AE2" s="102" t="s">
        <v>10</v>
      </c>
      <c r="AF2" s="102" t="s">
        <v>48</v>
      </c>
      <c r="AG2" s="102" t="s">
        <v>10</v>
      </c>
      <c r="AH2" s="102" t="s">
        <v>48</v>
      </c>
      <c r="AI2" s="102" t="s">
        <v>10</v>
      </c>
      <c r="AJ2" s="102" t="s">
        <v>48</v>
      </c>
      <c r="AK2" s="102" t="s">
        <v>10</v>
      </c>
    </row>
    <row r="3" spans="1:37" ht="17.25" customHeight="1" x14ac:dyDescent="0.25">
      <c r="A3" s="77" t="s">
        <v>11</v>
      </c>
      <c r="B3" s="90">
        <v>0.6</v>
      </c>
      <c r="C3" s="90">
        <v>0.13</v>
      </c>
      <c r="D3" s="90">
        <v>0.215</v>
      </c>
      <c r="E3" s="90">
        <v>1.91</v>
      </c>
      <c r="F3" s="90">
        <v>0.4</v>
      </c>
      <c r="G3" s="90">
        <v>0.61</v>
      </c>
      <c r="H3" s="90">
        <v>0.08</v>
      </c>
      <c r="I3" s="90">
        <v>0.47</v>
      </c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>
        <v>0.15</v>
      </c>
      <c r="AA3" s="90">
        <v>0.04</v>
      </c>
      <c r="AB3" s="90">
        <v>7.0000000000000007E-2</v>
      </c>
      <c r="AC3" s="90">
        <v>0.05</v>
      </c>
      <c r="AD3" s="90">
        <v>0.16</v>
      </c>
      <c r="AE3" s="90">
        <v>0.01</v>
      </c>
      <c r="AF3" s="90"/>
      <c r="AG3" s="90"/>
      <c r="AH3" s="90"/>
      <c r="AI3" s="90"/>
      <c r="AJ3" s="103">
        <f>SUM(B3,D3,F3,H3,J3,L3,N3,P3,R3,T3,V3,X3,Z3,AB3,AD3,AF3,AH3)</f>
        <v>1.6749999999999998</v>
      </c>
      <c r="AK3" s="103">
        <f>SUM(C3,E3,G3,I3,K3,M3,O3,Q3,S3,U3,W3,Y3,AA3,AC3,AE3,AG3,AI3)</f>
        <v>3.2199999999999998</v>
      </c>
    </row>
    <row r="4" spans="1:37" ht="17.25" customHeight="1" x14ac:dyDescent="0.25">
      <c r="A4" s="77" t="s">
        <v>12</v>
      </c>
      <c r="B4" s="90">
        <v>0.01</v>
      </c>
      <c r="C4" s="90">
        <v>0.01</v>
      </c>
      <c r="D4" s="90">
        <v>2.3570000000000002</v>
      </c>
      <c r="E4" s="90">
        <v>18.41</v>
      </c>
      <c r="F4" s="90">
        <v>209</v>
      </c>
      <c r="G4" s="90">
        <v>759</v>
      </c>
      <c r="H4" s="84">
        <v>67</v>
      </c>
      <c r="I4" s="84">
        <v>411</v>
      </c>
      <c r="J4" s="90">
        <v>0.32</v>
      </c>
      <c r="K4" s="90">
        <v>1.01</v>
      </c>
      <c r="L4" s="90"/>
      <c r="M4" s="90"/>
      <c r="N4" s="90">
        <v>8.68</v>
      </c>
      <c r="O4" s="90">
        <v>5.36</v>
      </c>
      <c r="P4" s="90"/>
      <c r="Q4" s="90"/>
      <c r="R4" s="90"/>
      <c r="S4" s="90"/>
      <c r="T4" s="90"/>
      <c r="U4" s="90"/>
      <c r="V4" s="90">
        <v>9.39</v>
      </c>
      <c r="W4" s="90">
        <v>2.2400000000000002</v>
      </c>
      <c r="X4" s="90"/>
      <c r="Y4" s="90"/>
      <c r="Z4" s="90"/>
      <c r="AA4" s="90"/>
      <c r="AB4" s="90"/>
      <c r="AC4" s="90"/>
      <c r="AD4" s="90"/>
      <c r="AE4" s="90"/>
      <c r="AF4" s="90">
        <v>5.53</v>
      </c>
      <c r="AG4" s="90">
        <v>20</v>
      </c>
      <c r="AH4" s="90">
        <v>0.01</v>
      </c>
      <c r="AI4" s="90">
        <v>0.01</v>
      </c>
      <c r="AJ4" s="103">
        <f t="shared" ref="AJ4:AK33" si="0">SUM(B4,D4,F4,H4,J4,L4,N4,P4,R4,T4,V4,X4,Z4,AB4,AD4,AF4,AH4)</f>
        <v>302.29699999999991</v>
      </c>
      <c r="AK4" s="103">
        <f t="shared" si="0"/>
        <v>1217.04</v>
      </c>
    </row>
    <row r="5" spans="1:37" ht="17.25" customHeight="1" x14ac:dyDescent="0.25">
      <c r="A5" s="80" t="s">
        <v>13</v>
      </c>
      <c r="B5" s="90"/>
      <c r="C5" s="90"/>
      <c r="D5" s="90">
        <v>7</v>
      </c>
      <c r="E5" s="90">
        <v>57</v>
      </c>
      <c r="F5" s="90">
        <v>2.5</v>
      </c>
      <c r="G5" s="90">
        <v>4.4000000000000004</v>
      </c>
      <c r="H5" s="90">
        <v>0.64</v>
      </c>
      <c r="I5" s="90">
        <v>2.86</v>
      </c>
      <c r="J5" s="90">
        <v>0.03</v>
      </c>
      <c r="K5" s="90">
        <v>0.01</v>
      </c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103">
        <f t="shared" si="0"/>
        <v>10.17</v>
      </c>
      <c r="AK5" s="103">
        <f t="shared" si="0"/>
        <v>64.27000000000001</v>
      </c>
    </row>
    <row r="6" spans="1:37" ht="17.25" customHeight="1" x14ac:dyDescent="0.25">
      <c r="A6" s="77" t="s">
        <v>14</v>
      </c>
      <c r="B6" s="90">
        <v>3.72</v>
      </c>
      <c r="C6" s="90">
        <v>1.99</v>
      </c>
      <c r="D6" s="90">
        <v>17.838999999999999</v>
      </c>
      <c r="E6" s="90">
        <v>136.83000000000001</v>
      </c>
      <c r="F6" s="90">
        <v>20.59</v>
      </c>
      <c r="G6" s="90">
        <v>15.96</v>
      </c>
      <c r="H6" s="90">
        <v>16.239999999999998</v>
      </c>
      <c r="I6" s="90">
        <v>15.43</v>
      </c>
      <c r="J6" s="90">
        <v>9.98</v>
      </c>
      <c r="K6" s="90">
        <v>67.790000000000006</v>
      </c>
      <c r="L6" s="90"/>
      <c r="M6" s="90"/>
      <c r="N6" s="90">
        <v>28.29</v>
      </c>
      <c r="O6" s="90">
        <v>49.5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103">
        <f t="shared" si="0"/>
        <v>96.658999999999992</v>
      </c>
      <c r="AK6" s="103">
        <f t="shared" si="0"/>
        <v>287.50000000000006</v>
      </c>
    </row>
    <row r="7" spans="1:37" ht="17.25" customHeight="1" x14ac:dyDescent="0.25">
      <c r="A7" s="77" t="s">
        <v>15</v>
      </c>
      <c r="B7" s="90"/>
      <c r="C7" s="90"/>
      <c r="D7" s="90">
        <v>0.56000000000000005</v>
      </c>
      <c r="E7" s="90">
        <v>0.84</v>
      </c>
      <c r="F7" s="90">
        <v>2.9</v>
      </c>
      <c r="G7" s="90">
        <v>3</v>
      </c>
      <c r="H7" s="90">
        <v>3</v>
      </c>
      <c r="I7" s="90">
        <v>3</v>
      </c>
      <c r="J7" s="90">
        <v>4.25</v>
      </c>
      <c r="K7" s="90">
        <v>4</v>
      </c>
      <c r="L7" s="90"/>
      <c r="M7" s="90"/>
      <c r="N7" s="90">
        <v>2.2999999999999998</v>
      </c>
      <c r="O7" s="90">
        <v>1.7</v>
      </c>
      <c r="P7" s="90"/>
      <c r="Q7" s="90"/>
      <c r="R7" s="90"/>
      <c r="S7" s="90"/>
      <c r="T7" s="90"/>
      <c r="U7" s="90"/>
      <c r="V7" s="90"/>
      <c r="W7" s="90"/>
      <c r="X7" s="90"/>
      <c r="Y7" s="90"/>
      <c r="AA7" s="90"/>
      <c r="AB7" s="90"/>
      <c r="AC7" s="90"/>
      <c r="AD7" s="90"/>
      <c r="AE7" s="90"/>
      <c r="AF7" s="90"/>
      <c r="AG7" s="90"/>
      <c r="AH7" s="90"/>
      <c r="AI7" s="90"/>
      <c r="AJ7" s="103">
        <f t="shared" si="0"/>
        <v>13.010000000000002</v>
      </c>
      <c r="AK7" s="103">
        <f t="shared" si="0"/>
        <v>12.54</v>
      </c>
    </row>
    <row r="8" spans="1:37" ht="17.25" customHeight="1" x14ac:dyDescent="0.25">
      <c r="A8" s="77" t="s">
        <v>55</v>
      </c>
      <c r="B8" s="90"/>
      <c r="C8" s="90"/>
      <c r="D8" s="90">
        <v>1.907</v>
      </c>
      <c r="E8" s="90">
        <v>2.3199999999999998</v>
      </c>
      <c r="F8" s="90">
        <v>5.46</v>
      </c>
      <c r="G8" s="90">
        <v>8.3000000000000007</v>
      </c>
      <c r="H8" s="90">
        <v>0.93</v>
      </c>
      <c r="I8" s="90">
        <v>0.82</v>
      </c>
      <c r="J8" s="90">
        <v>1.1499999999999999</v>
      </c>
      <c r="K8" s="90">
        <v>3.09</v>
      </c>
      <c r="L8" s="90"/>
      <c r="M8" s="90"/>
      <c r="N8" s="90">
        <v>2.86</v>
      </c>
      <c r="O8" s="90">
        <v>0.84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103">
        <f t="shared" si="0"/>
        <v>12.307</v>
      </c>
      <c r="AK8" s="103">
        <f t="shared" si="0"/>
        <v>15.370000000000001</v>
      </c>
    </row>
    <row r="9" spans="1:37" ht="17.25" customHeight="1" x14ac:dyDescent="0.25">
      <c r="A9" s="77" t="s">
        <v>19</v>
      </c>
      <c r="B9" s="90">
        <v>0.73</v>
      </c>
      <c r="C9" s="90">
        <v>0.23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103">
        <f t="shared" si="0"/>
        <v>0.73</v>
      </c>
      <c r="AK9" s="103">
        <f t="shared" si="0"/>
        <v>0.23</v>
      </c>
    </row>
    <row r="10" spans="1:37" ht="17.25" customHeight="1" x14ac:dyDescent="0.25">
      <c r="A10" s="77" t="s">
        <v>20</v>
      </c>
      <c r="B10" s="90"/>
      <c r="C10" s="90"/>
      <c r="D10" s="90">
        <v>4.3949999999999996</v>
      </c>
      <c r="E10" s="90">
        <v>70.650000000000006</v>
      </c>
      <c r="F10" s="90">
        <v>43.4</v>
      </c>
      <c r="G10" s="90">
        <v>68.53</v>
      </c>
      <c r="H10" s="90">
        <v>2.98</v>
      </c>
      <c r="I10" s="90">
        <v>50.49</v>
      </c>
      <c r="J10" s="90">
        <v>35</v>
      </c>
      <c r="K10" s="90">
        <v>250</v>
      </c>
      <c r="L10" s="90"/>
      <c r="M10" s="90"/>
      <c r="N10" s="90">
        <v>20.57</v>
      </c>
      <c r="O10" s="90">
        <v>32.31</v>
      </c>
      <c r="P10" s="90">
        <v>370</v>
      </c>
      <c r="Q10" s="90">
        <v>280</v>
      </c>
      <c r="R10" s="90">
        <v>38</v>
      </c>
      <c r="S10" s="90">
        <v>55</v>
      </c>
      <c r="T10" s="90">
        <v>5</v>
      </c>
      <c r="U10" s="90">
        <v>14</v>
      </c>
      <c r="V10" s="90">
        <v>5.87</v>
      </c>
      <c r="W10" s="90">
        <v>6.37</v>
      </c>
      <c r="X10" s="90">
        <v>16.600000000000001</v>
      </c>
      <c r="Y10" s="90">
        <v>21.13</v>
      </c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103">
        <f t="shared" si="0"/>
        <v>541.81500000000005</v>
      </c>
      <c r="AK10" s="103">
        <f t="shared" si="0"/>
        <v>848.48</v>
      </c>
    </row>
    <row r="11" spans="1:37" ht="17.25" customHeight="1" x14ac:dyDescent="0.25">
      <c r="A11" s="77" t="s">
        <v>21</v>
      </c>
      <c r="B11" s="90"/>
      <c r="C11" s="90"/>
      <c r="D11" s="90">
        <v>0.44500000000000001</v>
      </c>
      <c r="E11" s="90">
        <v>5.65</v>
      </c>
      <c r="F11" s="90">
        <v>2.4300000000000002</v>
      </c>
      <c r="G11" s="90">
        <v>4.22</v>
      </c>
      <c r="H11" s="90">
        <v>1.33</v>
      </c>
      <c r="I11" s="90">
        <v>23.84</v>
      </c>
      <c r="J11" s="90">
        <v>4.4400000000000004</v>
      </c>
      <c r="K11" s="90">
        <v>35.83</v>
      </c>
      <c r="L11" s="90"/>
      <c r="M11" s="90"/>
      <c r="N11" s="90">
        <v>2.4300000000000002</v>
      </c>
      <c r="O11" s="90">
        <v>4.41</v>
      </c>
      <c r="P11" s="90"/>
      <c r="Q11" s="90"/>
      <c r="R11" s="90">
        <v>0.27</v>
      </c>
      <c r="S11" s="90">
        <v>0.17</v>
      </c>
      <c r="T11" s="90">
        <v>4.78</v>
      </c>
      <c r="U11" s="90">
        <v>8.6999999999999993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103">
        <f t="shared" si="0"/>
        <v>16.125</v>
      </c>
      <c r="AK11" s="103">
        <f t="shared" si="0"/>
        <v>82.82</v>
      </c>
    </row>
    <row r="12" spans="1:37" ht="17.25" customHeight="1" x14ac:dyDescent="0.25">
      <c r="A12" s="77" t="s">
        <v>22</v>
      </c>
      <c r="B12" s="90"/>
      <c r="C12" s="90"/>
      <c r="D12" s="90">
        <v>3.23</v>
      </c>
      <c r="E12" s="90">
        <v>7.64</v>
      </c>
      <c r="F12" s="90">
        <v>0.63</v>
      </c>
      <c r="G12" s="90">
        <v>0.2</v>
      </c>
      <c r="H12" s="90">
        <v>0.2</v>
      </c>
      <c r="I12" s="90">
        <v>0.11</v>
      </c>
      <c r="J12" s="90">
        <v>4.1500000000000004</v>
      </c>
      <c r="K12" s="90">
        <v>6.14</v>
      </c>
      <c r="L12" s="90"/>
      <c r="M12" s="90"/>
      <c r="N12" s="90">
        <v>0.14000000000000001</v>
      </c>
      <c r="O12" s="90">
        <v>0.05</v>
      </c>
      <c r="P12" s="90">
        <v>0.08</v>
      </c>
      <c r="Q12" s="90">
        <v>0.02</v>
      </c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103">
        <f t="shared" si="0"/>
        <v>8.4300000000000015</v>
      </c>
      <c r="AK12" s="103">
        <f t="shared" si="0"/>
        <v>14.16</v>
      </c>
    </row>
    <row r="13" spans="1:37" ht="17.25" customHeight="1" x14ac:dyDescent="0.25">
      <c r="A13" s="77" t="s">
        <v>23</v>
      </c>
      <c r="B13" s="90"/>
      <c r="C13" s="90"/>
      <c r="D13" s="90">
        <v>3.4000000000000002E-2</v>
      </c>
      <c r="E13" s="90">
        <v>0.04</v>
      </c>
      <c r="F13" s="90">
        <v>0.56000000000000005</v>
      </c>
      <c r="G13" s="90">
        <v>0.54</v>
      </c>
      <c r="H13" s="90">
        <v>0.02</v>
      </c>
      <c r="I13" s="90">
        <v>0.02</v>
      </c>
      <c r="J13" s="90">
        <v>0.54</v>
      </c>
      <c r="K13" s="90">
        <v>0.46</v>
      </c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>
        <v>3.79</v>
      </c>
      <c r="AI13" s="90">
        <v>0.01</v>
      </c>
      <c r="AJ13" s="103">
        <f t="shared" si="0"/>
        <v>4.944</v>
      </c>
      <c r="AK13" s="103">
        <f t="shared" si="0"/>
        <v>1.07</v>
      </c>
    </row>
    <row r="14" spans="1:37" ht="17.25" customHeight="1" x14ac:dyDescent="0.25">
      <c r="A14" s="77" t="s">
        <v>24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103">
        <f t="shared" si="0"/>
        <v>0</v>
      </c>
      <c r="AK14" s="103">
        <f t="shared" si="0"/>
        <v>0</v>
      </c>
    </row>
    <row r="15" spans="1:37" ht="17.25" customHeight="1" x14ac:dyDescent="0.25">
      <c r="A15" s="77" t="s">
        <v>161</v>
      </c>
      <c r="B15" s="90">
        <v>26</v>
      </c>
      <c r="C15" s="90">
        <v>6.02</v>
      </c>
      <c r="D15" s="90">
        <v>20</v>
      </c>
      <c r="E15" s="90">
        <v>70</v>
      </c>
      <c r="F15" s="90">
        <v>100.73</v>
      </c>
      <c r="G15" s="90">
        <v>107</v>
      </c>
      <c r="H15" s="90">
        <v>16.100000000000001</v>
      </c>
      <c r="I15" s="90">
        <v>100</v>
      </c>
      <c r="J15" s="90">
        <v>4.22</v>
      </c>
      <c r="K15" s="90">
        <v>4.5</v>
      </c>
      <c r="L15" s="90">
        <v>25.08</v>
      </c>
      <c r="M15" s="90">
        <v>0.94</v>
      </c>
      <c r="N15" s="90">
        <v>4.5</v>
      </c>
      <c r="O15" s="90">
        <v>4.5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>
        <v>0.04</v>
      </c>
      <c r="AA15" s="90">
        <v>0.01</v>
      </c>
      <c r="AB15" s="90">
        <v>0.15</v>
      </c>
      <c r="AC15" s="90">
        <v>0.15</v>
      </c>
      <c r="AD15" s="90">
        <v>0.12</v>
      </c>
      <c r="AE15" s="90">
        <v>0.17</v>
      </c>
      <c r="AF15" s="90">
        <v>16.8</v>
      </c>
      <c r="AG15" s="90">
        <v>87</v>
      </c>
      <c r="AH15" s="90">
        <v>2.52</v>
      </c>
      <c r="AI15" s="90">
        <v>0.99</v>
      </c>
      <c r="AJ15" s="103">
        <f t="shared" si="0"/>
        <v>216.26000000000002</v>
      </c>
      <c r="AK15" s="103">
        <f t="shared" si="0"/>
        <v>381.28</v>
      </c>
    </row>
    <row r="16" spans="1:37" ht="17.25" customHeight="1" x14ac:dyDescent="0.25">
      <c r="A16" s="77" t="s">
        <v>26</v>
      </c>
      <c r="B16" s="90">
        <v>84.88</v>
      </c>
      <c r="C16" s="90">
        <v>38.67</v>
      </c>
      <c r="D16" s="90">
        <v>4.4359999999999999</v>
      </c>
      <c r="E16" s="90">
        <v>21.25</v>
      </c>
      <c r="F16" s="90">
        <v>1.34</v>
      </c>
      <c r="G16" s="90">
        <v>1.29</v>
      </c>
      <c r="H16" s="90">
        <v>2.63</v>
      </c>
      <c r="I16" s="90">
        <v>6.9</v>
      </c>
      <c r="J16" s="90">
        <v>7.0000000000000007E-2</v>
      </c>
      <c r="K16" s="90">
        <v>0.4</v>
      </c>
      <c r="L16" s="90">
        <v>39.729999999999997</v>
      </c>
      <c r="M16" s="90">
        <v>12.91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>
        <v>0.14000000000000001</v>
      </c>
      <c r="AA16" s="90">
        <v>0</v>
      </c>
      <c r="AB16" s="90">
        <v>18.46</v>
      </c>
      <c r="AC16" s="90">
        <v>12.53</v>
      </c>
      <c r="AD16" s="90">
        <v>0.91</v>
      </c>
      <c r="AE16" s="90">
        <v>7.0000000000000007E-2</v>
      </c>
      <c r="AF16" s="90">
        <v>14</v>
      </c>
      <c r="AG16" s="90">
        <v>20</v>
      </c>
      <c r="AH16" s="90">
        <v>0.36</v>
      </c>
      <c r="AI16" s="90">
        <v>0.04</v>
      </c>
      <c r="AJ16" s="103">
        <f t="shared" si="0"/>
        <v>166.95599999999999</v>
      </c>
      <c r="AK16" s="103">
        <f t="shared" si="0"/>
        <v>114.06</v>
      </c>
    </row>
    <row r="17" spans="1:37" ht="17.25" customHeight="1" x14ac:dyDescent="0.25">
      <c r="A17" s="77" t="s">
        <v>27</v>
      </c>
      <c r="B17" s="90"/>
      <c r="C17" s="90"/>
      <c r="D17" s="90">
        <v>9</v>
      </c>
      <c r="E17" s="90">
        <v>15</v>
      </c>
      <c r="F17" s="90">
        <v>54.41</v>
      </c>
      <c r="G17" s="90">
        <v>93.57</v>
      </c>
      <c r="H17" s="90">
        <v>1.5</v>
      </c>
      <c r="I17" s="90">
        <v>0.6</v>
      </c>
      <c r="J17" s="90">
        <v>60</v>
      </c>
      <c r="K17" s="90">
        <v>270</v>
      </c>
      <c r="L17" s="90"/>
      <c r="M17" s="90"/>
      <c r="N17" s="90">
        <v>160</v>
      </c>
      <c r="O17" s="90">
        <v>75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103">
        <f t="shared" si="0"/>
        <v>284.90999999999997</v>
      </c>
      <c r="AK17" s="103">
        <f t="shared" si="0"/>
        <v>454.16999999999996</v>
      </c>
    </row>
    <row r="18" spans="1:37" ht="17.25" customHeight="1" x14ac:dyDescent="0.25">
      <c r="A18" s="77" t="s">
        <v>28</v>
      </c>
      <c r="B18" s="90"/>
      <c r="C18" s="90"/>
      <c r="D18" s="91">
        <v>1.06</v>
      </c>
      <c r="E18" s="90">
        <v>1.04</v>
      </c>
      <c r="F18" s="90">
        <v>99.5</v>
      </c>
      <c r="G18" s="90">
        <v>45.6</v>
      </c>
      <c r="H18" s="90">
        <v>11</v>
      </c>
      <c r="I18" s="90">
        <v>11</v>
      </c>
      <c r="J18" s="90">
        <v>3.5</v>
      </c>
      <c r="K18" s="90">
        <v>40</v>
      </c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>
        <v>5.7</v>
      </c>
      <c r="AG18" s="90">
        <v>11.4</v>
      </c>
      <c r="AH18" s="90"/>
      <c r="AI18" s="90"/>
      <c r="AJ18" s="103">
        <f t="shared" si="0"/>
        <v>120.76</v>
      </c>
      <c r="AK18" s="103">
        <f t="shared" si="0"/>
        <v>109.04</v>
      </c>
    </row>
    <row r="19" spans="1:37" ht="17.25" customHeight="1" x14ac:dyDescent="0.25">
      <c r="A19" s="81" t="s">
        <v>29</v>
      </c>
      <c r="B19" s="90"/>
      <c r="C19" s="90"/>
      <c r="D19" s="90">
        <v>2.4</v>
      </c>
      <c r="E19" s="90">
        <v>3.84</v>
      </c>
      <c r="F19" s="90">
        <v>6.5</v>
      </c>
      <c r="G19" s="90">
        <v>3.9</v>
      </c>
      <c r="H19" s="90">
        <v>1.4</v>
      </c>
      <c r="I19" s="90">
        <v>16.399999999999999</v>
      </c>
      <c r="J19" s="90">
        <v>0.17</v>
      </c>
      <c r="K19" s="90">
        <v>0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103">
        <f>SUM(B19,D19,F19,H19,J19,L19,N19,P19,R19,T19,V19,X19,Z19,AB19,AD19,AF19,AH19)</f>
        <v>10.47</v>
      </c>
      <c r="AK19" s="103">
        <f t="shared" si="0"/>
        <v>24.14</v>
      </c>
    </row>
    <row r="20" spans="1:37" ht="17.25" customHeight="1" x14ac:dyDescent="0.25">
      <c r="A20" s="77" t="s">
        <v>30</v>
      </c>
      <c r="B20" s="90">
        <v>0.87</v>
      </c>
      <c r="C20" s="90">
        <v>0.46</v>
      </c>
      <c r="D20" s="90">
        <v>10</v>
      </c>
      <c r="E20" s="90">
        <v>56.8</v>
      </c>
      <c r="F20" s="90">
        <v>1.85</v>
      </c>
      <c r="G20" s="90">
        <v>1.41</v>
      </c>
      <c r="H20" s="90">
        <v>1.94</v>
      </c>
      <c r="I20" s="90">
        <v>9.98</v>
      </c>
      <c r="J20" s="90">
        <v>0.28000000000000003</v>
      </c>
      <c r="K20" s="90">
        <v>1.1100000000000001</v>
      </c>
      <c r="L20" s="90"/>
      <c r="M20" s="90"/>
      <c r="N20" s="90">
        <v>0.01</v>
      </c>
      <c r="O20" s="90">
        <v>0.05</v>
      </c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>
        <v>2.44</v>
      </c>
      <c r="AA20" s="90">
        <v>5</v>
      </c>
      <c r="AB20" s="90"/>
      <c r="AC20" s="90"/>
      <c r="AD20" s="90"/>
      <c r="AE20" s="90"/>
      <c r="AF20" s="90"/>
      <c r="AG20" s="90"/>
      <c r="AH20" s="90"/>
      <c r="AI20" s="90"/>
      <c r="AJ20" s="103">
        <f>SUM(B20,D20,F20,H20,J20,L20,N20,P20,R20,T20,V20,X20,Z20,AB20,AD20,AF20,AH20)</f>
        <v>17.389999999999997</v>
      </c>
      <c r="AK20" s="103">
        <f>SUM(C20,E20,G20,I20,K20,M20,O20,Q20,S20,U20,W20,Y20,AA20,AC20,AE20,AG20,AI20)</f>
        <v>74.809999999999988</v>
      </c>
    </row>
    <row r="21" spans="1:37" ht="17.25" customHeight="1" x14ac:dyDescent="0.25">
      <c r="A21" s="77" t="s">
        <v>31</v>
      </c>
      <c r="B21" s="90">
        <v>7.0000000000000007E-2</v>
      </c>
      <c r="C21" s="90">
        <v>0.01</v>
      </c>
      <c r="D21" s="90">
        <v>7.28</v>
      </c>
      <c r="E21" s="90">
        <v>28.39</v>
      </c>
      <c r="F21" s="90">
        <v>9.02</v>
      </c>
      <c r="G21" s="90">
        <v>8.2100000000000009</v>
      </c>
      <c r="H21" s="90">
        <v>6.05</v>
      </c>
      <c r="I21" s="90">
        <v>22.99</v>
      </c>
      <c r="J21" s="90">
        <v>0.02</v>
      </c>
      <c r="K21" s="90">
        <v>0.01</v>
      </c>
      <c r="L21" s="90"/>
      <c r="M21" s="90"/>
      <c r="N21" s="90">
        <v>0.03</v>
      </c>
      <c r="O21" s="90">
        <v>0.01</v>
      </c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103">
        <f t="shared" si="0"/>
        <v>22.470000000000002</v>
      </c>
      <c r="AK21" s="103">
        <f t="shared" si="0"/>
        <v>59.61999999999999</v>
      </c>
    </row>
    <row r="22" spans="1:37" ht="17.25" customHeight="1" x14ac:dyDescent="0.25">
      <c r="A22" s="80" t="s">
        <v>32</v>
      </c>
      <c r="B22" s="90">
        <v>0.23</v>
      </c>
      <c r="C22" s="90">
        <v>0.01</v>
      </c>
      <c r="D22" s="90">
        <v>5.32</v>
      </c>
      <c r="E22" s="90">
        <v>36</v>
      </c>
      <c r="F22" s="90">
        <v>0.8</v>
      </c>
      <c r="G22" s="90">
        <v>1</v>
      </c>
      <c r="H22" s="90">
        <v>0.12</v>
      </c>
      <c r="I22" s="90">
        <v>0.5</v>
      </c>
      <c r="J22" s="90">
        <v>0.1</v>
      </c>
      <c r="K22" s="90">
        <v>0.15</v>
      </c>
      <c r="L22" s="90">
        <v>3.2</v>
      </c>
      <c r="M22" s="90">
        <v>1.5</v>
      </c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103">
        <f t="shared" si="0"/>
        <v>9.77</v>
      </c>
      <c r="AK22" s="103">
        <f t="shared" si="0"/>
        <v>39.159999999999997</v>
      </c>
    </row>
    <row r="23" spans="1:37" ht="17.25" customHeight="1" x14ac:dyDescent="0.25">
      <c r="A23" s="77" t="s">
        <v>189</v>
      </c>
      <c r="B23" s="90"/>
      <c r="C23" s="90"/>
      <c r="D23" s="90">
        <v>15.843999999999999</v>
      </c>
      <c r="E23" s="90">
        <v>35</v>
      </c>
      <c r="F23" s="90">
        <v>75</v>
      </c>
      <c r="G23" s="90">
        <v>70</v>
      </c>
      <c r="H23" s="90">
        <v>2.48</v>
      </c>
      <c r="I23" s="90">
        <v>30</v>
      </c>
      <c r="J23" s="90">
        <v>10.9</v>
      </c>
      <c r="K23" s="90">
        <v>35.5</v>
      </c>
      <c r="L23" s="90"/>
      <c r="M23" s="90"/>
      <c r="N23" s="90">
        <v>19.100000000000001</v>
      </c>
      <c r="O23" s="90">
        <v>11</v>
      </c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103">
        <f t="shared" si="0"/>
        <v>123.32400000000001</v>
      </c>
      <c r="AK23" s="103">
        <f t="shared" si="0"/>
        <v>181.5</v>
      </c>
    </row>
    <row r="24" spans="1:37" ht="17.25" customHeight="1" x14ac:dyDescent="0.25">
      <c r="A24" s="80" t="s">
        <v>167</v>
      </c>
      <c r="B24" s="90">
        <v>0.01</v>
      </c>
      <c r="C24" s="90">
        <v>0.01</v>
      </c>
      <c r="D24" s="90"/>
      <c r="E24" s="90"/>
      <c r="F24" s="90">
        <v>0.01</v>
      </c>
      <c r="G24" s="90">
        <v>0.01</v>
      </c>
      <c r="H24" s="90">
        <v>0.01</v>
      </c>
      <c r="I24" s="90">
        <v>0.01</v>
      </c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>
        <v>0.06</v>
      </c>
      <c r="AG24" s="90">
        <v>0.35</v>
      </c>
      <c r="AH24" s="90"/>
      <c r="AI24" s="90"/>
      <c r="AJ24" s="103">
        <f t="shared" si="0"/>
        <v>0.09</v>
      </c>
      <c r="AK24" s="103">
        <f t="shared" si="0"/>
        <v>0.38</v>
      </c>
    </row>
    <row r="25" spans="1:37" ht="17.25" customHeight="1" x14ac:dyDescent="0.25">
      <c r="A25" s="77" t="s">
        <v>33</v>
      </c>
      <c r="B25" s="90"/>
      <c r="C25" s="90"/>
      <c r="D25" s="90"/>
      <c r="E25" s="90"/>
      <c r="F25" s="90">
        <v>10.6</v>
      </c>
      <c r="G25" s="90">
        <v>17.7</v>
      </c>
      <c r="H25" s="90">
        <v>0.78</v>
      </c>
      <c r="I25" s="90">
        <v>2.71</v>
      </c>
      <c r="J25" s="90">
        <v>3.7</v>
      </c>
      <c r="K25" s="90">
        <v>45</v>
      </c>
      <c r="L25" s="90"/>
      <c r="M25" s="90"/>
      <c r="N25" s="90"/>
      <c r="O25" s="90"/>
      <c r="P25" s="90"/>
      <c r="Q25" s="90"/>
      <c r="T25" s="90"/>
      <c r="U25" s="90"/>
      <c r="V25" s="90"/>
      <c r="W25" s="90"/>
      <c r="X25" s="90">
        <v>4.07</v>
      </c>
      <c r="Y25" s="90">
        <v>5.51</v>
      </c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103">
        <f>SUM(B25,D25,F25,H25,J25,L25,N25,P25,R25,T25,V25,X25,Z25,AB25,AD25,AF25,AH25)</f>
        <v>19.149999999999999</v>
      </c>
      <c r="AK25" s="103">
        <f t="shared" si="0"/>
        <v>70.92</v>
      </c>
    </row>
    <row r="26" spans="1:37" ht="17.25" customHeight="1" x14ac:dyDescent="0.25">
      <c r="A26" s="77" t="s">
        <v>34</v>
      </c>
      <c r="B26" s="90"/>
      <c r="C26" s="90"/>
      <c r="D26" s="90">
        <v>0.16900000000000001</v>
      </c>
      <c r="E26" s="90">
        <v>0.31</v>
      </c>
      <c r="F26" s="90">
        <v>10.62</v>
      </c>
      <c r="G26" s="90">
        <v>15.99</v>
      </c>
      <c r="H26" s="90">
        <v>0.25</v>
      </c>
      <c r="I26" s="90">
        <v>0.71</v>
      </c>
      <c r="J26" s="90">
        <v>43.6</v>
      </c>
      <c r="K26" s="90">
        <v>184.85</v>
      </c>
      <c r="L26" s="90"/>
      <c r="M26" s="90"/>
      <c r="N26" s="90">
        <v>158.68</v>
      </c>
      <c r="O26" s="90">
        <v>231.93</v>
      </c>
      <c r="P26" s="90">
        <v>495.69</v>
      </c>
      <c r="Q26" s="90">
        <v>176.36</v>
      </c>
      <c r="R26" s="90">
        <v>55</v>
      </c>
      <c r="S26" s="90">
        <v>80</v>
      </c>
      <c r="T26" s="90">
        <v>65.510000000000005</v>
      </c>
      <c r="U26" s="90">
        <v>71.53</v>
      </c>
      <c r="V26" s="90">
        <v>24</v>
      </c>
      <c r="W26" s="90">
        <v>18</v>
      </c>
      <c r="X26" s="90">
        <v>12.8</v>
      </c>
      <c r="Y26" s="90">
        <v>6</v>
      </c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103">
        <f t="shared" si="0"/>
        <v>866.31899999999996</v>
      </c>
      <c r="AK26" s="103">
        <f t="shared" si="0"/>
        <v>785.68</v>
      </c>
    </row>
    <row r="27" spans="1:37" ht="17.25" customHeight="1" x14ac:dyDescent="0.25">
      <c r="A27" s="77" t="s">
        <v>35</v>
      </c>
      <c r="B27" s="90"/>
      <c r="C27" s="90"/>
      <c r="D27" s="90">
        <v>9.3000000000000007</v>
      </c>
      <c r="E27" s="90">
        <v>52.11</v>
      </c>
      <c r="F27" s="90"/>
      <c r="G27" s="90"/>
      <c r="H27" s="90"/>
      <c r="I27" s="90"/>
      <c r="J27" s="90"/>
      <c r="K27" s="90"/>
      <c r="L27" s="90">
        <v>22.76</v>
      </c>
      <c r="M27" s="90">
        <v>3.69</v>
      </c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103">
        <f t="shared" si="0"/>
        <v>32.06</v>
      </c>
      <c r="AK27" s="103">
        <f t="shared" si="0"/>
        <v>55.8</v>
      </c>
    </row>
    <row r="28" spans="1:37" ht="17.25" customHeight="1" x14ac:dyDescent="0.25">
      <c r="A28" s="77" t="s">
        <v>36</v>
      </c>
      <c r="B28" s="90">
        <v>4.29</v>
      </c>
      <c r="C28" s="90">
        <v>0.98</v>
      </c>
      <c r="D28" s="90">
        <v>0.72699999999999998</v>
      </c>
      <c r="E28" s="90">
        <v>7.01</v>
      </c>
      <c r="F28" s="90">
        <v>50.67</v>
      </c>
      <c r="G28" s="90">
        <v>23.06</v>
      </c>
      <c r="H28" s="90">
        <v>76.98</v>
      </c>
      <c r="I28" s="90">
        <v>461.99</v>
      </c>
      <c r="J28" s="90">
        <v>0.45</v>
      </c>
      <c r="K28" s="90">
        <v>2.59</v>
      </c>
      <c r="L28" s="90">
        <v>5.16</v>
      </c>
      <c r="M28" s="90">
        <v>0.95</v>
      </c>
      <c r="N28" s="90">
        <v>9.59</v>
      </c>
      <c r="O28" s="90">
        <v>4.0999999999999996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>
        <v>0.05</v>
      </c>
      <c r="AC28" s="90"/>
      <c r="AD28" s="90">
        <v>0.87</v>
      </c>
      <c r="AE28" s="90">
        <v>0.82</v>
      </c>
      <c r="AF28" s="90">
        <v>16.64</v>
      </c>
      <c r="AG28" s="90">
        <v>53</v>
      </c>
      <c r="AH28" s="90">
        <v>0.56999999999999995</v>
      </c>
      <c r="AI28" s="90">
        <v>0.02</v>
      </c>
      <c r="AJ28" s="103">
        <f t="shared" si="0"/>
        <v>165.99700000000001</v>
      </c>
      <c r="AK28" s="103">
        <f t="shared" si="0"/>
        <v>554.52</v>
      </c>
    </row>
    <row r="29" spans="1:37" ht="17.25" customHeight="1" x14ac:dyDescent="0.25">
      <c r="A29" s="77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103"/>
      <c r="AK29" s="103"/>
    </row>
    <row r="30" spans="1:37" ht="17.25" customHeight="1" x14ac:dyDescent="0.25">
      <c r="A30" s="77" t="s">
        <v>37</v>
      </c>
      <c r="B30" s="90">
        <v>0.24</v>
      </c>
      <c r="C30" s="90">
        <v>0.15</v>
      </c>
      <c r="D30" s="90">
        <v>1.8</v>
      </c>
      <c r="E30" s="90">
        <v>7.6</v>
      </c>
      <c r="F30" s="90">
        <v>2.35</v>
      </c>
      <c r="G30" s="90">
        <v>3.7</v>
      </c>
      <c r="H30" s="90">
        <v>1.3</v>
      </c>
      <c r="I30" s="90">
        <v>6.59</v>
      </c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103">
        <f t="shared" si="0"/>
        <v>5.69</v>
      </c>
      <c r="AK30" s="103">
        <f t="shared" si="0"/>
        <v>18.04</v>
      </c>
    </row>
    <row r="31" spans="1:37" ht="17.25" customHeight="1" x14ac:dyDescent="0.25">
      <c r="A31" s="77" t="s">
        <v>38</v>
      </c>
      <c r="B31" s="90"/>
      <c r="C31" s="90"/>
      <c r="D31" s="90">
        <v>0.81299999999999994</v>
      </c>
      <c r="E31" s="90">
        <v>4.17</v>
      </c>
      <c r="F31" s="90">
        <v>13.77</v>
      </c>
      <c r="G31" s="90">
        <v>11.11</v>
      </c>
      <c r="H31" s="90">
        <v>2</v>
      </c>
      <c r="I31" s="90">
        <v>6</v>
      </c>
      <c r="J31" s="90">
        <v>36.08</v>
      </c>
      <c r="K31" s="90">
        <v>187.39</v>
      </c>
      <c r="L31" s="90"/>
      <c r="M31" s="90"/>
      <c r="N31" s="90">
        <v>6.68</v>
      </c>
      <c r="O31" s="90">
        <v>3.61</v>
      </c>
      <c r="P31" s="90">
        <v>0</v>
      </c>
      <c r="Q31" s="90">
        <v>0.01</v>
      </c>
      <c r="R31" s="90">
        <v>0.8</v>
      </c>
      <c r="S31" s="90">
        <v>0.77</v>
      </c>
      <c r="T31" s="90">
        <v>0.33</v>
      </c>
      <c r="U31" s="90">
        <v>0.22</v>
      </c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103">
        <f t="shared" si="0"/>
        <v>60.472999999999992</v>
      </c>
      <c r="AK31" s="103">
        <f t="shared" si="0"/>
        <v>213.28</v>
      </c>
    </row>
    <row r="32" spans="1:37" ht="17.25" customHeight="1" x14ac:dyDescent="0.25">
      <c r="A32" s="77" t="s">
        <v>90</v>
      </c>
      <c r="B32" s="90"/>
      <c r="C32" s="90"/>
      <c r="D32" s="90">
        <v>2.355</v>
      </c>
      <c r="E32" s="90">
        <v>23.44</v>
      </c>
      <c r="F32" s="90">
        <v>2</v>
      </c>
      <c r="G32" s="90">
        <v>7.2</v>
      </c>
      <c r="H32" s="90">
        <v>1.34</v>
      </c>
      <c r="I32" s="90">
        <v>2.4900000000000002</v>
      </c>
      <c r="J32" s="90">
        <v>1.0900000000000001</v>
      </c>
      <c r="K32" s="90">
        <v>1.54</v>
      </c>
      <c r="L32" s="90"/>
      <c r="M32" s="90"/>
      <c r="N32" s="90">
        <v>0.9</v>
      </c>
      <c r="O32" s="90">
        <v>3.8</v>
      </c>
      <c r="P32" s="90"/>
      <c r="Q32" s="90"/>
      <c r="R32" s="90"/>
      <c r="S32" s="90"/>
      <c r="T32" s="90">
        <v>0.4</v>
      </c>
      <c r="U32" s="90">
        <v>2.61</v>
      </c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103">
        <f t="shared" si="0"/>
        <v>8.0850000000000009</v>
      </c>
      <c r="AK32" s="103">
        <f t="shared" si="0"/>
        <v>41.08</v>
      </c>
    </row>
    <row r="33" spans="1:37" ht="17.25" customHeight="1" x14ac:dyDescent="0.25">
      <c r="A33" s="77" t="s">
        <v>40</v>
      </c>
      <c r="B33" s="90"/>
      <c r="C33" s="90"/>
      <c r="D33" s="90">
        <v>11.5</v>
      </c>
      <c r="E33" s="90">
        <v>25</v>
      </c>
      <c r="F33" s="90">
        <v>63.6</v>
      </c>
      <c r="G33" s="90">
        <v>100</v>
      </c>
      <c r="H33" s="90">
        <v>15.8</v>
      </c>
      <c r="I33" s="90">
        <v>42</v>
      </c>
      <c r="J33" s="90">
        <v>3.35</v>
      </c>
      <c r="K33" s="90">
        <v>40</v>
      </c>
      <c r="L33" s="90">
        <v>3.31</v>
      </c>
      <c r="M33" s="90">
        <v>0.72</v>
      </c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103">
        <f t="shared" si="0"/>
        <v>97.559999999999988</v>
      </c>
      <c r="AK33" s="103">
        <f t="shared" si="0"/>
        <v>207.72</v>
      </c>
    </row>
    <row r="34" spans="1:37" ht="17.25" customHeight="1" x14ac:dyDescent="0.25">
      <c r="A34" s="77"/>
      <c r="B34" s="90"/>
      <c r="C34" s="90"/>
      <c r="D34" s="90"/>
      <c r="E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103"/>
      <c r="AK34" s="103"/>
    </row>
    <row r="35" spans="1:37" ht="17.25" customHeight="1" x14ac:dyDescent="0.25">
      <c r="A35" s="77" t="s">
        <v>9</v>
      </c>
      <c r="B35" s="92">
        <f>SUM(B3:B33)</f>
        <v>121.65</v>
      </c>
      <c r="C35" s="92">
        <f t="shared" ref="C35:AK35" si="1">SUM(C3:C33)</f>
        <v>48.669999999999987</v>
      </c>
      <c r="D35" s="92">
        <f t="shared" si="1"/>
        <v>139.98599999999999</v>
      </c>
      <c r="E35" s="92">
        <f t="shared" si="1"/>
        <v>688.25</v>
      </c>
      <c r="F35" s="92">
        <f t="shared" si="1"/>
        <v>790.64</v>
      </c>
      <c r="G35" s="92">
        <f t="shared" si="1"/>
        <v>1375.51</v>
      </c>
      <c r="H35" s="92">
        <f t="shared" si="1"/>
        <v>234.10000000000005</v>
      </c>
      <c r="I35" s="92">
        <f t="shared" si="1"/>
        <v>1228.9099999999999</v>
      </c>
      <c r="J35" s="92">
        <f t="shared" si="1"/>
        <v>227.39</v>
      </c>
      <c r="K35" s="92">
        <f t="shared" si="1"/>
        <v>1181.3699999999999</v>
      </c>
      <c r="L35" s="92">
        <f t="shared" si="1"/>
        <v>99.240000000000009</v>
      </c>
      <c r="M35" s="92">
        <f t="shared" si="1"/>
        <v>20.709999999999997</v>
      </c>
      <c r="N35" s="92">
        <f t="shared" si="1"/>
        <v>424.75999999999993</v>
      </c>
      <c r="O35" s="92">
        <f t="shared" si="1"/>
        <v>428.17000000000007</v>
      </c>
      <c r="P35" s="92">
        <f t="shared" si="1"/>
        <v>865.77</v>
      </c>
      <c r="Q35" s="92">
        <f t="shared" si="1"/>
        <v>456.39</v>
      </c>
      <c r="R35" s="92">
        <f t="shared" si="1"/>
        <v>94.070000000000007</v>
      </c>
      <c r="S35" s="92">
        <f t="shared" si="1"/>
        <v>135.94000000000003</v>
      </c>
      <c r="T35" s="92">
        <f t="shared" si="1"/>
        <v>76.02000000000001</v>
      </c>
      <c r="U35" s="92">
        <f t="shared" si="1"/>
        <v>97.06</v>
      </c>
      <c r="V35" s="92">
        <f t="shared" si="1"/>
        <v>39.260000000000005</v>
      </c>
      <c r="W35" s="92">
        <f t="shared" si="1"/>
        <v>26.61</v>
      </c>
      <c r="X35" s="92">
        <f t="shared" si="1"/>
        <v>33.47</v>
      </c>
      <c r="Y35" s="92">
        <f t="shared" si="1"/>
        <v>32.64</v>
      </c>
      <c r="Z35" s="92">
        <f t="shared" si="1"/>
        <v>2.77</v>
      </c>
      <c r="AA35" s="92">
        <f t="shared" si="1"/>
        <v>5.05</v>
      </c>
      <c r="AB35" s="92">
        <f t="shared" si="1"/>
        <v>18.73</v>
      </c>
      <c r="AC35" s="92">
        <f t="shared" si="1"/>
        <v>12.729999999999999</v>
      </c>
      <c r="AD35" s="92">
        <f t="shared" si="1"/>
        <v>2.06</v>
      </c>
      <c r="AE35" s="92">
        <f t="shared" si="1"/>
        <v>1.0699999999999998</v>
      </c>
      <c r="AF35" s="92">
        <f t="shared" si="1"/>
        <v>58.730000000000004</v>
      </c>
      <c r="AG35" s="92">
        <f t="shared" si="1"/>
        <v>191.75</v>
      </c>
      <c r="AH35" s="92">
        <f t="shared" si="1"/>
        <v>7.2500000000000009</v>
      </c>
      <c r="AI35" s="92">
        <f t="shared" si="1"/>
        <v>1.07</v>
      </c>
      <c r="AJ35" s="92">
        <f>SUM(AJ3:AJ33)</f>
        <v>3235.8959999999997</v>
      </c>
      <c r="AK35" s="92">
        <f t="shared" si="1"/>
        <v>5931.8999999999987</v>
      </c>
    </row>
    <row r="37" spans="1:37" x14ac:dyDescent="0.2">
      <c r="B37" s="84" t="s">
        <v>212</v>
      </c>
    </row>
  </sheetData>
  <mergeCells count="18"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L1:M1"/>
    <mergeCell ref="B1:C1"/>
    <mergeCell ref="D1:E1"/>
    <mergeCell ref="F1:G1"/>
    <mergeCell ref="H1:I1"/>
    <mergeCell ref="J1:K1"/>
  </mergeCells>
  <pageMargins left="0.47" right="0.4" top="1" bottom="1" header="0.5" footer="0.5"/>
  <pageSetup scale="75" orientation="landscape" verticalDpi="300" r:id="rId1"/>
  <headerFooter alignWithMargins="0">
    <oddHeader xml:space="preserve">&amp;C&amp;"Times New Roman,Bold"&amp;14Area and Production of Spices  2013-14 &amp;R&amp;"Times New Roman,Bold"&amp;9Area in '000 Ha 
Production in'000  MT </oddHeader>
  </headerFooter>
  <colBreaks count="2" manualBreakCount="2">
    <brk id="13" max="1048575" man="1"/>
    <brk id="2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D47" sqref="D47"/>
    </sheetView>
  </sheetViews>
  <sheetFormatPr defaultRowHeight="12.75" x14ac:dyDescent="0.2"/>
  <cols>
    <col min="1" max="1" width="23.7109375" style="104" customWidth="1"/>
    <col min="2" max="5" width="9.140625" style="104"/>
    <col min="6" max="6" width="10" style="104" customWidth="1"/>
    <col min="7" max="7" width="9.140625" style="104"/>
    <col min="8" max="8" width="11" style="104" customWidth="1"/>
    <col min="9" max="15" width="9.140625" style="104"/>
    <col min="16" max="16" width="11.42578125" style="104" customWidth="1"/>
    <col min="17" max="16384" width="9.140625" style="104"/>
  </cols>
  <sheetData>
    <row r="1" spans="1:16" ht="15" x14ac:dyDescent="0.25">
      <c r="A1" s="17" t="s">
        <v>224</v>
      </c>
      <c r="B1" s="296" t="s">
        <v>58</v>
      </c>
      <c r="C1" s="297"/>
      <c r="D1" s="294" t="s">
        <v>217</v>
      </c>
      <c r="E1" s="294"/>
      <c r="F1" s="294" t="s">
        <v>59</v>
      </c>
      <c r="G1" s="294"/>
      <c r="H1" s="294"/>
      <c r="I1" s="294" t="s">
        <v>60</v>
      </c>
      <c r="J1" s="294"/>
      <c r="K1" s="294" t="s">
        <v>61</v>
      </c>
      <c r="L1" s="294"/>
      <c r="M1" s="297" t="s">
        <v>218</v>
      </c>
      <c r="N1" s="297"/>
      <c r="O1" s="293" t="s">
        <v>9</v>
      </c>
      <c r="P1" s="294"/>
    </row>
    <row r="2" spans="1:16" ht="15" x14ac:dyDescent="0.25">
      <c r="A2" s="53"/>
      <c r="B2" s="52" t="s">
        <v>48</v>
      </c>
      <c r="C2" s="53" t="s">
        <v>10</v>
      </c>
      <c r="D2" s="53" t="s">
        <v>48</v>
      </c>
      <c r="E2" s="53" t="s">
        <v>10</v>
      </c>
      <c r="F2" s="53" t="s">
        <v>48</v>
      </c>
      <c r="G2" s="295" t="s">
        <v>10</v>
      </c>
      <c r="H2" s="296"/>
      <c r="I2" s="53" t="s">
        <v>48</v>
      </c>
      <c r="J2" s="53" t="s">
        <v>10</v>
      </c>
      <c r="K2" s="53" t="s">
        <v>48</v>
      </c>
      <c r="L2" s="53" t="s">
        <v>10</v>
      </c>
      <c r="M2" s="53" t="s">
        <v>48</v>
      </c>
      <c r="N2" s="53" t="s">
        <v>10</v>
      </c>
      <c r="O2" s="53" t="s">
        <v>48</v>
      </c>
      <c r="P2" s="53" t="s">
        <v>10</v>
      </c>
    </row>
    <row r="3" spans="1:16" ht="15" x14ac:dyDescent="0.25">
      <c r="A3" s="53"/>
      <c r="B3" s="18"/>
      <c r="C3" s="19"/>
      <c r="D3" s="19"/>
      <c r="E3" s="19"/>
      <c r="F3" s="19"/>
      <c r="G3" s="20" t="s">
        <v>62</v>
      </c>
      <c r="H3" s="20" t="s">
        <v>63</v>
      </c>
      <c r="I3" s="19"/>
      <c r="J3" s="19"/>
      <c r="K3" s="19"/>
      <c r="L3" s="19"/>
      <c r="M3" s="19" t="s">
        <v>39</v>
      </c>
      <c r="N3" s="19"/>
      <c r="O3" s="21"/>
      <c r="P3" s="22"/>
    </row>
    <row r="4" spans="1:16" ht="15" x14ac:dyDescent="0.25">
      <c r="A4" s="23" t="s">
        <v>54</v>
      </c>
      <c r="B4" s="24">
        <f>(' Horticulture 2013-14(Final)'!B7-'3rd Horticulture 2013-14'!B4)/'3rd Horticulture 2013-14'!B4*100</f>
        <v>0</v>
      </c>
      <c r="C4" s="24">
        <f>(' Horticulture 2013-14(Final)'!C7-'3rd Horticulture 2013-14'!C4)/'3rd Horticulture 2013-14'!C4*100</f>
        <v>0</v>
      </c>
      <c r="D4" s="24">
        <f>(' Horticulture 2013-14(Final)'!D7-'3rd Horticulture 2013-14'!D4)/'3rd Horticulture 2013-14'!D4*100</f>
        <v>1.2890833377360308E-14</v>
      </c>
      <c r="E4" s="24">
        <f>(' Horticulture 2013-14(Final)'!E7-'3rd Horticulture 2013-14'!E4)/'3rd Horticulture 2013-14'!E4*100</f>
        <v>0</v>
      </c>
      <c r="F4" s="24">
        <f>(' Horticulture 2013-14(Final)'!F7-'3rd Horticulture 2013-14'!F4)/'3rd Horticulture 2013-14'!F4*100</f>
        <v>0</v>
      </c>
      <c r="G4" s="24">
        <f>(' Horticulture 2013-14(Final)'!G7-'3rd Horticulture 2013-14'!G4)/'3rd Horticulture 2013-14'!G4*100</f>
        <v>0</v>
      </c>
      <c r="H4" s="24"/>
      <c r="I4" s="24"/>
      <c r="J4" s="24"/>
      <c r="K4" s="24">
        <f>(' Horticulture 2013-14(Final)'!K7-'3rd Horticulture 2013-14'!K4)/'3rd Horticulture 2013-14'!K4*100</f>
        <v>0</v>
      </c>
      <c r="L4" s="24">
        <f>(' Horticulture 2013-14(Final)'!L7-'3rd Horticulture 2013-14'!L4)/'3rd Horticulture 2013-14'!L4*100</f>
        <v>0</v>
      </c>
      <c r="M4" s="24">
        <f>(' Horticulture 2013-14(Final)'!M7-'3rd Horticulture 2013-14'!M4)/'3rd Horticulture 2013-14'!M4*100</f>
        <v>0</v>
      </c>
      <c r="N4" s="24">
        <f>(' Horticulture 2013-14(Final)'!N7-'3rd Horticulture 2013-14'!N4)/'3rd Horticulture 2013-14'!N4*100</f>
        <v>0</v>
      </c>
      <c r="O4" s="25">
        <f>(' Horticulture 2013-14(Final)'!P7-'3rd Horticulture 2013-14'!O4)/'3rd Horticulture 2013-14'!O4*100</f>
        <v>0</v>
      </c>
      <c r="P4" s="25">
        <f>(' Horticulture 2013-14(Final)'!Q7-'3rd Horticulture 2013-14'!P4)/'3rd Horticulture 2013-14'!P4*100</f>
        <v>0</v>
      </c>
    </row>
    <row r="5" spans="1:16" ht="15" x14ac:dyDescent="0.25">
      <c r="A5" s="23" t="s">
        <v>12</v>
      </c>
      <c r="B5" s="24">
        <f>(' Horticulture 2013-14(Final)'!B8-'3rd Horticulture 2013-14'!B5)/'3rd Horticulture 2013-14'!B5*100</f>
        <v>-34.273189005567886</v>
      </c>
      <c r="C5" s="24">
        <f>(' Horticulture 2013-14(Final)'!C8-'3rd Horticulture 2013-14'!C5)/'3rd Horticulture 2013-14'!C5*100</f>
        <v>-26.082496571914259</v>
      </c>
      <c r="D5" s="24">
        <f>(' Horticulture 2013-14(Final)'!D8-'3rd Horticulture 2013-14'!D5)/'3rd Horticulture 2013-14'!D5*100</f>
        <v>-38.105300799089974</v>
      </c>
      <c r="E5" s="24">
        <f>(' Horticulture 2013-14(Final)'!E8-'3rd Horticulture 2013-14'!E5)/'3rd Horticulture 2013-14'!E5*100</f>
        <v>-34.392819611693973</v>
      </c>
      <c r="F5" s="24">
        <f>(' Horticulture 2013-14(Final)'!F8-'3rd Horticulture 2013-14'!F5)/'3rd Horticulture 2013-14'!F5*100</f>
        <v>-43.521290751829667</v>
      </c>
      <c r="G5" s="24">
        <f>(' Horticulture 2013-14(Final)'!G8-'3rd Horticulture 2013-14'!G5)/'3rd Horticulture 2013-14'!G5*100</f>
        <v>-45.736949622296649</v>
      </c>
      <c r="H5" s="24">
        <f>(' Horticulture 2013-14(Final)'!H8-'3rd Horticulture 2013-14'!H5)/'3rd Horticulture 2013-14'!H5*100</f>
        <v>-45.517409981489884</v>
      </c>
      <c r="I5" s="24">
        <f>(' Horticulture 2013-14(Final)'!I8-'3rd Horticulture 2013-14'!I5)/'3rd Horticulture 2013-14'!I5*100</f>
        <v>525.91362126245849</v>
      </c>
      <c r="J5" s="24">
        <f>(' Horticulture 2013-14(Final)'!J8-'3rd Horticulture 2013-14'!J5)/'3rd Horticulture 2013-14'!J5*100</f>
        <v>-22.293557671020601</v>
      </c>
      <c r="K5" s="24">
        <f>(' Horticulture 2013-14(Final)'!K8-'3rd Horticulture 2013-14'!K5)/'3rd Horticulture 2013-14'!K5*100</f>
        <v>-43.976288219863243</v>
      </c>
      <c r="L5" s="24">
        <f>(' Horticulture 2013-14(Final)'!L8-'3rd Horticulture 2013-14'!L5)/'3rd Horticulture 2013-14'!L5*100</f>
        <v>-36.253533162426876</v>
      </c>
      <c r="M5" s="24">
        <f>(' Horticulture 2013-14(Final)'!M8-'3rd Horticulture 2013-14'!M5)/'3rd Horticulture 2013-14'!M5*100</f>
        <v>-3.3945153121043057</v>
      </c>
      <c r="N5" s="24">
        <f>(' Horticulture 2013-14(Final)'!N8-'3rd Horticulture 2013-14'!N5)/'3rd Horticulture 2013-14'!N5*100</f>
        <v>-8.0138803607898392</v>
      </c>
      <c r="O5" s="25">
        <f>(' Horticulture 2013-14(Final)'!P8-'3rd Horticulture 2013-14'!O5)/'3rd Horticulture 2013-14'!O5*100</f>
        <v>-32.278798010785351</v>
      </c>
      <c r="P5" s="25">
        <f>(' Horticulture 2013-14(Final)'!Q8-'3rd Horticulture 2013-14'!P5)/'3rd Horticulture 2013-14'!P5*100</f>
        <v>-29.142621175033135</v>
      </c>
    </row>
    <row r="6" spans="1:16" ht="15" x14ac:dyDescent="0.25">
      <c r="A6" s="23" t="s">
        <v>13</v>
      </c>
      <c r="B6" s="24">
        <f>(' Horticulture 2013-14(Final)'!B9-'3rd Horticulture 2013-14'!B6)/'3rd Horticulture 2013-14'!B6*100</f>
        <v>8.98059069836416E-3</v>
      </c>
      <c r="C6" s="24">
        <f>(' Horticulture 2013-14(Final)'!C9-'3rd Horticulture 2013-14'!C6)/'3rd Horticulture 2013-14'!C6*100</f>
        <v>-0.27936689253996572</v>
      </c>
      <c r="D6" s="24">
        <f>(' Horticulture 2013-14(Final)'!D9-'3rd Horticulture 2013-14'!D6)/'3rd Horticulture 2013-14'!D6*100</f>
        <v>0</v>
      </c>
      <c r="E6" s="24">
        <f>(' Horticulture 2013-14(Final)'!E9-'3rd Horticulture 2013-14'!E6)/'3rd Horticulture 2013-14'!E6*100</f>
        <v>0</v>
      </c>
      <c r="F6" s="24">
        <f>(' Horticulture 2013-14(Final)'!F9-'3rd Horticulture 2013-14'!F6)/'3rd Horticulture 2013-14'!F6*100</f>
        <v>0</v>
      </c>
      <c r="G6" s="24">
        <f>(' Horticulture 2013-14(Final)'!G9-'3rd Horticulture 2013-14'!G6)/'3rd Horticulture 2013-14'!G6*100</f>
        <v>0</v>
      </c>
      <c r="H6" s="24">
        <f>(' Horticulture 2013-14(Final)'!H9-'3rd Horticulture 2013-14'!H6)/'3rd Horticulture 2013-14'!H6*100</f>
        <v>0</v>
      </c>
      <c r="I6" s="24">
        <f>(' Horticulture 2013-14(Final)'!I9-'3rd Horticulture 2013-14'!I6)/'3rd Horticulture 2013-14'!I6*100</f>
        <v>0</v>
      </c>
      <c r="J6" s="24">
        <f>(' Horticulture 2013-14(Final)'!J9-'3rd Horticulture 2013-14'!J6)/'3rd Horticulture 2013-14'!J6*100</f>
        <v>0</v>
      </c>
      <c r="K6" s="24">
        <f>(' Horticulture 2013-14(Final)'!K9-'3rd Horticulture 2013-14'!K6)/'3rd Horticulture 2013-14'!K6*100</f>
        <v>0</v>
      </c>
      <c r="L6" s="24">
        <f>(' Horticulture 2013-14(Final)'!L9-'3rd Horticulture 2013-14'!L6)/'3rd Horticulture 2013-14'!L6*100</f>
        <v>0</v>
      </c>
      <c r="M6" s="24">
        <f>(' Horticulture 2013-14(Final)'!M9-'3rd Horticulture 2013-14'!M6)/'3rd Horticulture 2013-14'!M6*100</f>
        <v>0</v>
      </c>
      <c r="N6" s="24">
        <f>(' Horticulture 2013-14(Final)'!N9-'3rd Horticulture 2013-14'!N6)/'3rd Horticulture 2013-14'!N6*100</f>
        <v>0</v>
      </c>
      <c r="O6" s="25">
        <f>(' Horticulture 2013-14(Final)'!P9-'3rd Horticulture 2013-14'!O6)/'3rd Horticulture 2013-14'!O6*100</f>
        <v>7.4890869960521069E-3</v>
      </c>
      <c r="P6" s="25">
        <f>(' Horticulture 2013-14(Final)'!Q9-'3rd Horticulture 2013-14'!P6)/'3rd Horticulture 2013-14'!P6*100</f>
        <v>0.18123717516083221</v>
      </c>
    </row>
    <row r="7" spans="1:16" ht="15" x14ac:dyDescent="0.25">
      <c r="A7" s="23" t="s">
        <v>14</v>
      </c>
      <c r="B7" s="24">
        <f>(' Horticulture 2013-14(Final)'!B10-'3rd Horticulture 2013-14'!B7)/'3rd Horticulture 2013-14'!B7*100</f>
        <v>-6.0300593652979257</v>
      </c>
      <c r="C7" s="24">
        <f>(' Horticulture 2013-14(Final)'!C10-'3rd Horticulture 2013-14'!C7)/'3rd Horticulture 2013-14'!C7*100</f>
        <v>-9.1592315766613499</v>
      </c>
      <c r="D7" s="24">
        <f>(' Horticulture 2013-14(Final)'!D10-'3rd Horticulture 2013-14'!D7)/'3rd Horticulture 2013-14'!D7*100</f>
        <v>-3.2996336794936036</v>
      </c>
      <c r="E7" s="24">
        <f>(' Horticulture 2013-14(Final)'!E10-'3rd Horticulture 2013-14'!E7)/'3rd Horticulture 2013-14'!E7*100</f>
        <v>-12.874719535071927</v>
      </c>
      <c r="F7" s="24">
        <f>(' Horticulture 2013-14(Final)'!F10-'3rd Horticulture 2013-14'!F7)/'3rd Horticulture 2013-14'!F7*100</f>
        <v>0</v>
      </c>
      <c r="G7" s="24">
        <f>(' Horticulture 2013-14(Final)'!G10-'3rd Horticulture 2013-14'!G7)/'3rd Horticulture 2013-14'!G7*100</f>
        <v>0</v>
      </c>
      <c r="H7" s="24">
        <f>(' Horticulture 2013-14(Final)'!H10-'3rd Horticulture 2013-14'!H7)/'3rd Horticulture 2013-14'!H7*100</f>
        <v>0</v>
      </c>
      <c r="I7" s="24">
        <f>(' Horticulture 2013-14(Final)'!I10-'3rd Horticulture 2013-14'!I7)/'3rd Horticulture 2013-14'!I7*100</f>
        <v>0</v>
      </c>
      <c r="J7" s="24">
        <f>(' Horticulture 2013-14(Final)'!J10-'3rd Horticulture 2013-14'!J7)/'3rd Horticulture 2013-14'!J7*100</f>
        <v>0</v>
      </c>
      <c r="K7" s="24">
        <f>(' Horticulture 2013-14(Final)'!K10-'3rd Horticulture 2013-14'!K7)/'3rd Horticulture 2013-14'!K7*100</f>
        <v>-3.6996037616776438</v>
      </c>
      <c r="L7" s="24">
        <f>(' Horticulture 2013-14(Final)'!L10-'3rd Horticulture 2013-14'!L7)/'3rd Horticulture 2013-14'!L7*100</f>
        <v>-2.9078260869565455</v>
      </c>
      <c r="M7" s="24">
        <f>(' Horticulture 2013-14(Final)'!M10-'3rd Horticulture 2013-14'!M7)/'3rd Horticulture 2013-14'!M7*100</f>
        <v>0.37768768922871143</v>
      </c>
      <c r="N7" s="24">
        <f>(' Horticulture 2013-14(Final)'!N10-'3rd Horticulture 2013-14'!N7)/'3rd Horticulture 2013-14'!N7*100</f>
        <v>-5.0994889637925391</v>
      </c>
      <c r="O7" s="25">
        <f>(' Horticulture 2013-14(Final)'!P10-'3rd Horticulture 2013-14'!O7)/'3rd Horticulture 2013-14'!O7*100</f>
        <v>-3.4179651241939806</v>
      </c>
      <c r="P7" s="25">
        <f>(' Horticulture 2013-14(Final)'!Q10-'3rd Horticulture 2013-14'!P7)/'3rd Horticulture 2013-14'!P7*100</f>
        <v>-10.280510705461383</v>
      </c>
    </row>
    <row r="8" spans="1:16" ht="15" x14ac:dyDescent="0.25">
      <c r="A8" s="23" t="s">
        <v>15</v>
      </c>
      <c r="B8" s="24">
        <f>(' Horticulture 2013-14(Final)'!B11-'3rd Horticulture 2013-14'!B8)/'3rd Horticulture 2013-14'!B8*100</f>
        <v>-1.5048258771357426</v>
      </c>
      <c r="C8" s="24">
        <f>(' Horticulture 2013-14(Final)'!C11-'3rd Horticulture 2013-14'!C8)/'3rd Horticulture 2013-14'!C8*100</f>
        <v>-10.55320920441201</v>
      </c>
      <c r="D8" s="24">
        <f>(' Horticulture 2013-14(Final)'!D11-'3rd Horticulture 2013-14'!D8)/'3rd Horticulture 2013-14'!D8*100</f>
        <v>-6.9989732894473757</v>
      </c>
      <c r="E8" s="24">
        <f>(' Horticulture 2013-14(Final)'!E11-'3rd Horticulture 2013-14'!E8)/'3rd Horticulture 2013-14'!E8*100</f>
        <v>-7.1355771467557352</v>
      </c>
      <c r="F8" s="24">
        <f>(' Horticulture 2013-14(Final)'!F11-'3rd Horticulture 2013-14'!F8)/'3rd Horticulture 2013-14'!F8*100</f>
        <v>0</v>
      </c>
      <c r="G8" s="24">
        <f>(' Horticulture 2013-14(Final)'!G11-'3rd Horticulture 2013-14'!G8)/'3rd Horticulture 2013-14'!G8*100</f>
        <v>0</v>
      </c>
      <c r="H8" s="24">
        <f>(' Horticulture 2013-14(Final)'!H11-'3rd Horticulture 2013-14'!H8)/'3rd Horticulture 2013-14'!H8*100</f>
        <v>0</v>
      </c>
      <c r="I8" s="24">
        <f>(' Horticulture 2013-14(Final)'!I11-'3rd Horticulture 2013-14'!I8)/'3rd Horticulture 2013-14'!I8*100</f>
        <v>8.6407998095691614</v>
      </c>
      <c r="J8" s="24">
        <f>(' Horticulture 2013-14(Final)'!J11-'3rd Horticulture 2013-14'!J8)/'3rd Horticulture 2013-14'!J8*100</f>
        <v>11.44465290806753</v>
      </c>
      <c r="K8" s="24">
        <f>(' Horticulture 2013-14(Final)'!K11-'3rd Horticulture 2013-14'!K8)/'3rd Horticulture 2013-14'!K8*100</f>
        <v>0</v>
      </c>
      <c r="L8" s="24">
        <f>(' Horticulture 2013-14(Final)'!L11-'3rd Horticulture 2013-14'!L8)/'3rd Horticulture 2013-14'!L8*100</f>
        <v>0</v>
      </c>
      <c r="M8" s="24">
        <f>(' Horticulture 2013-14(Final)'!M11-'3rd Horticulture 2013-14'!M8)/'3rd Horticulture 2013-14'!M8*100</f>
        <v>-0.11138046255650567</v>
      </c>
      <c r="N8" s="24">
        <f>(' Horticulture 2013-14(Final)'!N11-'3rd Horticulture 2013-14'!N8)/'3rd Horticulture 2013-14'!N8*100</f>
        <v>0.4188762561129023</v>
      </c>
      <c r="O8" s="25">
        <f>(' Horticulture 2013-14(Final)'!P11-'3rd Horticulture 2013-14'!O8)/'3rd Horticulture 2013-14'!O8*100</f>
        <v>-5.3862253637923567</v>
      </c>
      <c r="P8" s="25">
        <f>(' Horticulture 2013-14(Final)'!Q11-'3rd Horticulture 2013-14'!P8)/'3rd Horticulture 2013-14'!P8*100</f>
        <v>-7.7838599149091259</v>
      </c>
    </row>
    <row r="9" spans="1:16" ht="15" x14ac:dyDescent="0.25">
      <c r="A9" s="23" t="s">
        <v>55</v>
      </c>
      <c r="B9" s="24">
        <f>(' Horticulture 2013-14(Final)'!B12-'3rd Horticulture 2013-14'!B9)/'3rd Horticulture 2013-14'!B9*100</f>
        <v>4.6974821495635605E-3</v>
      </c>
      <c r="C9" s="24">
        <f>(' Horticulture 2013-14(Final)'!C12-'3rd Horticulture 2013-14'!C9)/'3rd Horticulture 2013-14'!C9*100</f>
        <v>0</v>
      </c>
      <c r="D9" s="24">
        <f>(' Horticulture 2013-14(Final)'!D12-'3rd Horticulture 2013-14'!D9)/'3rd Horticulture 2013-14'!D9*100</f>
        <v>-1.4090032684928737E-14</v>
      </c>
      <c r="E9" s="24">
        <f>(' Horticulture 2013-14(Final)'!E12-'3rd Horticulture 2013-14'!E9)/'3rd Horticulture 2013-14'!E9*100</f>
        <v>1.6639370897724965E-14</v>
      </c>
      <c r="F9" s="24">
        <f>(' Horticulture 2013-14(Final)'!F12-'3rd Horticulture 2013-14'!F9)/'3rd Horticulture 2013-14'!F9*100</f>
        <v>0</v>
      </c>
      <c r="G9" s="24">
        <f>(' Horticulture 2013-14(Final)'!G12-'3rd Horticulture 2013-14'!G9)/'3rd Horticulture 2013-14'!G9*100</f>
        <v>0</v>
      </c>
      <c r="H9" s="24"/>
      <c r="I9" s="24">
        <f>(' Horticulture 2013-14(Final)'!I12-'3rd Horticulture 2013-14'!I9)/'3rd Horticulture 2013-14'!I9*100</f>
        <v>0</v>
      </c>
      <c r="J9" s="24">
        <f>(' Horticulture 2013-14(Final)'!J12-'3rd Horticulture 2013-14'!J9)/'3rd Horticulture 2013-14'!J9*100</f>
        <v>0</v>
      </c>
      <c r="K9" s="24">
        <f>(' Horticulture 2013-14(Final)'!K12-'3rd Horticulture 2013-14'!K9)/'3rd Horticulture 2013-14'!K9*100</f>
        <v>-4.1196067278784403</v>
      </c>
      <c r="L9" s="24">
        <f>(' Horticulture 2013-14(Final)'!L12-'3rd Horticulture 2013-14'!L9)/'3rd Horticulture 2013-14'!L9*100</f>
        <v>-45.998698763825644</v>
      </c>
      <c r="M9" s="24">
        <f>(' Horticulture 2013-14(Final)'!M12-'3rd Horticulture 2013-14'!M9)/'3rd Horticulture 2013-14'!M9*100</f>
        <v>-18.358531317494602</v>
      </c>
      <c r="N9" s="24">
        <f>(' Horticulture 2013-14(Final)'!N12-'3rd Horticulture 2013-14'!N9)/'3rd Horticulture 2013-14'!N9*100</f>
        <v>-6.3330727130570672</v>
      </c>
      <c r="O9" s="25">
        <f>(' Horticulture 2013-14(Final)'!P12-'3rd Horticulture 2013-14'!O9)/'3rd Horticulture 2013-14'!O9*100</f>
        <v>-0.58539267275245133</v>
      </c>
      <c r="P9" s="25">
        <f>(' Horticulture 2013-14(Final)'!Q12-'3rd Horticulture 2013-14'!P9)/'3rd Horticulture 2013-14'!P9*100</f>
        <v>-0.10872119187097069</v>
      </c>
    </row>
    <row r="10" spans="1:16" ht="15" x14ac:dyDescent="0.25">
      <c r="A10" s="23" t="s">
        <v>16</v>
      </c>
      <c r="B10" s="24"/>
      <c r="C10" s="24"/>
      <c r="D10" s="24">
        <f>(' Horticulture 2013-14(Final)'!D13-'3rd Horticulture 2013-14'!D10)/'3rd Horticulture 2013-14'!D10*100</f>
        <v>0</v>
      </c>
      <c r="E10" s="24">
        <f>(' Horticulture 2013-14(Final)'!E13-'3rd Horticulture 2013-14'!E10)/'3rd Horticulture 2013-14'!E10*100</f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5">
        <f>(' Horticulture 2013-14(Final)'!P13-'3rd Horticulture 2013-14'!O10)/'3rd Horticulture 2013-14'!O10*100</f>
        <v>0</v>
      </c>
      <c r="P10" s="25">
        <f>(' Horticulture 2013-14(Final)'!Q13-'3rd Horticulture 2013-14'!P10)/'3rd Horticulture 2013-14'!P10*100</f>
        <v>0</v>
      </c>
    </row>
    <row r="11" spans="1:16" ht="15" x14ac:dyDescent="0.25">
      <c r="A11" s="23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5"/>
    </row>
    <row r="12" spans="1:16" ht="15" x14ac:dyDescent="0.25">
      <c r="A12" s="23" t="s">
        <v>18</v>
      </c>
      <c r="B12" s="24"/>
      <c r="C12" s="24"/>
      <c r="D12" s="24">
        <f>(' Horticulture 2013-14(Final)'!D15-'3rd Horticulture 2013-14'!D12)/'3rd Horticulture 2013-14'!D12*100</f>
        <v>0</v>
      </c>
      <c r="E12" s="24">
        <f>(' Horticulture 2013-14(Final)'!E15-'3rd Horticulture 2013-14'!E12)/'3rd Horticulture 2013-14'!E12*100</f>
        <v>0</v>
      </c>
      <c r="F12" s="24">
        <f>(' Horticulture 2013-14(Final)'!F15-'3rd Horticulture 2013-14'!F12)/'3rd Horticulture 2013-14'!F12*100</f>
        <v>0</v>
      </c>
      <c r="G12" s="24">
        <f>(' Horticulture 2013-14(Final)'!G15-'3rd Horticulture 2013-14'!G12)/'3rd Horticulture 2013-14'!G12*100</f>
        <v>0</v>
      </c>
      <c r="H12" s="24">
        <f>(' Horticulture 2013-14(Final)'!H15-'3rd Horticulture 2013-14'!H12)/'3rd Horticulture 2013-14'!H12*100</f>
        <v>6.1607751655500015E-14</v>
      </c>
      <c r="I12" s="24"/>
      <c r="J12" s="24"/>
      <c r="K12" s="24"/>
      <c r="L12" s="24"/>
      <c r="M12" s="24"/>
      <c r="N12" s="24"/>
      <c r="O12" s="25">
        <f>(' Horticulture 2013-14(Final)'!P15-'3rd Horticulture 2013-14'!O12)/'3rd Horticulture 2013-14'!O12*100</f>
        <v>0</v>
      </c>
      <c r="P12" s="25">
        <f>(' Horticulture 2013-14(Final)'!Q15-'3rd Horticulture 2013-14'!P12)/'3rd Horticulture 2013-14'!P12*100</f>
        <v>1.3027657792798459</v>
      </c>
    </row>
    <row r="13" spans="1:16" ht="15" x14ac:dyDescent="0.25">
      <c r="A13" s="23" t="s">
        <v>19</v>
      </c>
      <c r="B13" s="24">
        <f>(' Horticulture 2013-14(Final)'!B16-'3rd Horticulture 2013-14'!B13)/'3rd Horticulture 2013-14'!B13*100</f>
        <v>0</v>
      </c>
      <c r="C13" s="24">
        <f>(' Horticulture 2013-14(Final)'!C16-'3rd Horticulture 2013-14'!C13)/'3rd Horticulture 2013-14'!C13*100</f>
        <v>0</v>
      </c>
      <c r="D13" s="24">
        <f>(' Horticulture 2013-14(Final)'!D16-'3rd Horticulture 2013-14'!D13)/'3rd Horticulture 2013-14'!D13*100</f>
        <v>0</v>
      </c>
      <c r="E13" s="24">
        <f>(' Horticulture 2013-14(Final)'!E16-'3rd Horticulture 2013-14'!E13)/'3rd Horticulture 2013-14'!E13*100</f>
        <v>0</v>
      </c>
      <c r="F13" s="24">
        <f>(' Horticulture 2013-14(Final)'!F16-'3rd Horticulture 2013-14'!F13)/'3rd Horticulture 2013-14'!F13*100</f>
        <v>0</v>
      </c>
      <c r="G13" s="24">
        <f>(' Horticulture 2013-14(Final)'!G16-'3rd Horticulture 2013-14'!G13)/'3rd Horticulture 2013-14'!G13*100</f>
        <v>0</v>
      </c>
      <c r="H13" s="24">
        <f>(' Horticulture 2013-14(Final)'!H16-'3rd Horticulture 2013-14'!H13)/'3rd Horticulture 2013-14'!H13*100</f>
        <v>0</v>
      </c>
      <c r="I13" s="24"/>
      <c r="J13" s="24"/>
      <c r="K13" s="24">
        <f>(' Horticulture 2013-14(Final)'!K16-'3rd Horticulture 2013-14'!K13)/'3rd Horticulture 2013-14'!K13*100</f>
        <v>24.657534246575349</v>
      </c>
      <c r="L13" s="24">
        <f>(' Horticulture 2013-14(Final)'!L16-'3rd Horticulture 2013-14'!L13)/'3rd Horticulture 2013-14'!L13*100</f>
        <v>21.739130434782613</v>
      </c>
      <c r="M13" s="24">
        <f>(' Horticulture 2013-14(Final)'!M16-'3rd Horticulture 2013-14'!M13)/'3rd Horticulture 2013-14'!M13*100</f>
        <v>1.1702750146306996E-2</v>
      </c>
      <c r="N13" s="24">
        <f>(' Horticulture 2013-14(Final)'!N16-'3rd Horticulture 2013-14'!N13)/'3rd Horticulture 2013-14'!N13*100</f>
        <v>2.4311183144247274E-2</v>
      </c>
      <c r="O13" s="25">
        <f>(' Horticulture 2013-14(Final)'!P16-'3rd Horticulture 2013-14'!O13)/'3rd Horticulture 2013-14'!O13*100</f>
        <v>0.18187474573433074</v>
      </c>
      <c r="P13" s="25">
        <f>(' Horticulture 2013-14(Final)'!Q16-'3rd Horticulture 2013-14'!P13)/'3rd Horticulture 2013-14'!P13*100</f>
        <v>6.33573076016542E-2</v>
      </c>
    </row>
    <row r="14" spans="1:16" ht="15" x14ac:dyDescent="0.25">
      <c r="A14" s="23" t="s">
        <v>20</v>
      </c>
      <c r="B14" s="24">
        <f>(' Horticulture 2013-14(Final)'!B17-'3rd Horticulture 2013-14'!B14)/'3rd Horticulture 2013-14'!B14*100</f>
        <v>-2.8152031454783772</v>
      </c>
      <c r="C14" s="24">
        <f>(' Horticulture 2013-14(Final)'!C17-'3rd Horticulture 2013-14'!C14)/'3rd Horticulture 2013-14'!C14*100</f>
        <v>-4.8876939370059302</v>
      </c>
      <c r="D14" s="24">
        <f>(' Horticulture 2013-14(Final)'!D17-'3rd Horticulture 2013-14'!D14)/'3rd Horticulture 2013-14'!D14*100</f>
        <v>1.4920170117827416</v>
      </c>
      <c r="E14" s="24">
        <f>(' Horticulture 2013-14(Final)'!E17-'3rd Horticulture 2013-14'!E14)/'3rd Horticulture 2013-14'!E14*100</f>
        <v>2.3597542992239862</v>
      </c>
      <c r="F14" s="24">
        <f>(' Horticulture 2013-14(Final)'!F17-'3rd Horticulture 2013-14'!F14)/'3rd Horticulture 2013-14'!F14*100</f>
        <v>0.17371163867979814</v>
      </c>
      <c r="G14" s="24">
        <f>(' Horticulture 2013-14(Final)'!G17-'3rd Horticulture 2013-14'!G14)/'3rd Horticulture 2013-14'!G14*100</f>
        <v>9.6000535941582452</v>
      </c>
      <c r="H14" s="24"/>
      <c r="I14" s="24"/>
      <c r="J14" s="24"/>
      <c r="K14" s="24">
        <f>(' Horticulture 2013-14(Final)'!K17-'3rd Horticulture 2013-14'!K14)/'3rd Horticulture 2013-14'!K14*100</f>
        <v>0</v>
      </c>
      <c r="L14" s="24">
        <f>(' Horticulture 2013-14(Final)'!L17-'3rd Horticulture 2013-14'!L14)/'3rd Horticulture 2013-14'!L14*100</f>
        <v>0</v>
      </c>
      <c r="M14" s="24">
        <f>(' Horticulture 2013-14(Final)'!M17-'3rd Horticulture 2013-14'!M14)/'3rd Horticulture 2013-14'!M14*100</f>
        <v>36.12925403918873</v>
      </c>
      <c r="N14" s="24">
        <f>(' Horticulture 2013-14(Final)'!N17-'3rd Horticulture 2013-14'!N14)/'3rd Horticulture 2013-14'!N14*100</f>
        <v>-7.6420454545454488</v>
      </c>
      <c r="O14" s="25">
        <f>(' Horticulture 2013-14(Final)'!P17-'3rd Horticulture 2013-14'!O14)/'3rd Horticulture 2013-14'!O14*100</f>
        <v>0.54166302210386197</v>
      </c>
      <c r="P14" s="25">
        <f>(' Horticulture 2013-14(Final)'!Q17-'3rd Horticulture 2013-14'!P14)/'3rd Horticulture 2013-14'!P14*100</f>
        <v>-0.7101107051769987</v>
      </c>
    </row>
    <row r="15" spans="1:16" ht="15" x14ac:dyDescent="0.25">
      <c r="A15" s="23" t="s">
        <v>21</v>
      </c>
      <c r="B15" s="24">
        <f>(' Horticulture 2013-14(Final)'!B18-'3rd Horticulture 2013-14'!B15)/'3rd Horticulture 2013-14'!B15*100</f>
        <v>0.11874134177715251</v>
      </c>
      <c r="C15" s="24">
        <f>(' Horticulture 2013-14(Final)'!C18-'3rd Horticulture 2013-14'!C15)/'3rd Horticulture 2013-14'!C15*100</f>
        <v>0.4398428873966122</v>
      </c>
      <c r="D15" s="24">
        <f>(' Horticulture 2013-14(Final)'!D18-'3rd Horticulture 2013-14'!D15)/'3rd Horticulture 2013-14'!D15*100</f>
        <v>-1.5232580020046629E-14</v>
      </c>
      <c r="E15" s="24">
        <f>(' Horticulture 2013-14(Final)'!E18-'3rd Horticulture 2013-14'!E15)/'3rd Horticulture 2013-14'!E15*100</f>
        <v>4.6015523049094439E-2</v>
      </c>
      <c r="F15" s="24">
        <f>(' Horticulture 2013-14(Final)'!F18-'3rd Horticulture 2013-14'!F15)/'3rd Horticulture 2013-14'!F15*100</f>
        <v>0</v>
      </c>
      <c r="G15" s="24">
        <f>(' Horticulture 2013-14(Final)'!G18-'3rd Horticulture 2013-14'!G15)/'3rd Horticulture 2013-14'!G15*100</f>
        <v>0</v>
      </c>
      <c r="H15" s="24">
        <f>(' Horticulture 2013-14(Final)'!H18-'3rd Horticulture 2013-14'!H15)/'3rd Horticulture 2013-14'!H15*100</f>
        <v>6.7121493431190324E-2</v>
      </c>
      <c r="I15" s="24">
        <f>(' Horticulture 2013-14(Final)'!I18-'3rd Horticulture 2013-14'!I15)/'3rd Horticulture 2013-14'!I15*100</f>
        <v>0.57142857142857195</v>
      </c>
      <c r="J15" s="24">
        <f>(' Horticulture 2013-14(Final)'!J18-'3rd Horticulture 2013-14'!J15)/'3rd Horticulture 2013-14'!J15*100</f>
        <v>0.44052863436122408</v>
      </c>
      <c r="K15" s="24">
        <f>(' Horticulture 2013-14(Final)'!K18-'3rd Horticulture 2013-14'!K15)/'3rd Horticulture 2013-14'!K15*100</f>
        <v>0</v>
      </c>
      <c r="L15" s="24">
        <f>(' Horticulture 2013-14(Final)'!L18-'3rd Horticulture 2013-14'!L15)/'3rd Horticulture 2013-14'!L15*100</f>
        <v>0</v>
      </c>
      <c r="M15" s="24"/>
      <c r="N15" s="24"/>
      <c r="O15" s="25">
        <f>(' Horticulture 2013-14(Final)'!P18-'3rd Horticulture 2013-14'!O15)/'3rd Horticulture 2013-14'!O15*100</f>
        <v>1.5623081987688192E-2</v>
      </c>
      <c r="P15" s="25">
        <f>(' Horticulture 2013-14(Final)'!Q18-'3rd Horticulture 2013-14'!P15)/'3rd Horticulture 2013-14'!P15*100</f>
        <v>0.32321665344233885</v>
      </c>
    </row>
    <row r="16" spans="1:16" ht="15" x14ac:dyDescent="0.25">
      <c r="A16" s="23" t="s">
        <v>22</v>
      </c>
      <c r="B16" s="24">
        <f>(' Horticulture 2013-14(Final)'!B19-'3rd Horticulture 2013-14'!B16)/'3rd Horticulture 2013-14'!B16*100</f>
        <v>1.2273540338485605</v>
      </c>
      <c r="C16" s="24">
        <f>(' Horticulture 2013-14(Final)'!C19-'3rd Horticulture 2013-14'!C16)/'3rd Horticulture 2013-14'!C16*100</f>
        <v>0</v>
      </c>
      <c r="D16" s="24">
        <f>(' Horticulture 2013-14(Final)'!D19-'3rd Horticulture 2013-14'!D16)/'3rd Horticulture 2013-14'!D16*100</f>
        <v>9.639682981794266</v>
      </c>
      <c r="E16" s="24">
        <f>(' Horticulture 2013-14(Final)'!E19-'3rd Horticulture 2013-14'!E16)/'3rd Horticulture 2013-14'!E16*100</f>
        <v>8.0190460846046552</v>
      </c>
      <c r="F16" s="24">
        <f>(' Horticulture 2013-14(Final)'!F19-'3rd Horticulture 2013-14'!F16)/'3rd Horticulture 2013-14'!F16*100</f>
        <v>-0.32337374495863364</v>
      </c>
      <c r="G16" s="24">
        <f>(' Horticulture 2013-14(Final)'!G19-'3rd Horticulture 2013-14'!G16)/'3rd Horticulture 2013-14'!G16*100</f>
        <v>-9.5231394521565916E-3</v>
      </c>
      <c r="H16" s="24">
        <f>(' Horticulture 2013-14(Final)'!H19-'3rd Horticulture 2013-14'!H16)/'3rd Horticulture 2013-14'!H16*100</f>
        <v>0</v>
      </c>
      <c r="I16" s="24">
        <f>(' Horticulture 2013-14(Final)'!I19-'3rd Horticulture 2013-14'!I16)/'3rd Horticulture 2013-14'!I16*100</f>
        <v>0</v>
      </c>
      <c r="J16" s="24">
        <f>(' Horticulture 2013-14(Final)'!J19-'3rd Horticulture 2013-14'!J16)/'3rd Horticulture 2013-14'!J16*100</f>
        <v>0</v>
      </c>
      <c r="K16" s="24">
        <f>(' Horticulture 2013-14(Final)'!K19-'3rd Horticulture 2013-14'!K16)/'3rd Horticulture 2013-14'!K16*100</f>
        <v>0</v>
      </c>
      <c r="L16" s="24">
        <f>(' Horticulture 2013-14(Final)'!L19-'3rd Horticulture 2013-14'!L16)/'3rd Horticulture 2013-14'!L16*100</f>
        <v>0</v>
      </c>
      <c r="M16" s="24"/>
      <c r="N16" s="24"/>
      <c r="O16" s="25">
        <f>(' Horticulture 2013-14(Final)'!P19-'3rd Horticulture 2013-14'!O16)/'3rd Horticulture 2013-14'!O16*100</f>
        <v>3.3467610479180481</v>
      </c>
      <c r="P16" s="25">
        <f>(' Horticulture 2013-14(Final)'!Q19-'3rd Horticulture 2013-14'!P16)/'3rd Horticulture 2013-14'!P16*100</f>
        <v>5.7260670335196551</v>
      </c>
    </row>
    <row r="17" spans="1:16" ht="15" x14ac:dyDescent="0.25">
      <c r="A17" s="23" t="s">
        <v>23</v>
      </c>
      <c r="B17" s="24">
        <f>(' Horticulture 2013-14(Final)'!B20-'3rd Horticulture 2013-14'!B17)/'3rd Horticulture 2013-14'!B17*100</f>
        <v>-9.2536860047158512E-2</v>
      </c>
      <c r="C17" s="24">
        <f>(' Horticulture 2013-14(Final)'!C20-'3rd Horticulture 2013-14'!C17)/'3rd Horticulture 2013-14'!C17*100</f>
        <v>6.1128675620939758E-2</v>
      </c>
      <c r="D17" s="24">
        <f>(' Horticulture 2013-14(Final)'!D20-'3rd Horticulture 2013-14'!D17)/'3rd Horticulture 2013-14'!D17*100</f>
        <v>0</v>
      </c>
      <c r="E17" s="24">
        <f>(' Horticulture 2013-14(Final)'!E20-'3rd Horticulture 2013-14'!E17)/'3rd Horticulture 2013-14'!E17*100</f>
        <v>0</v>
      </c>
      <c r="F17" s="24">
        <f>(' Horticulture 2013-14(Final)'!F20-'3rd Horticulture 2013-14'!F17)/'3rd Horticulture 2013-14'!F17*100</f>
        <v>-16.195392728281966</v>
      </c>
      <c r="G17" s="24">
        <f>(' Horticulture 2013-14(Final)'!G20-'3rd Horticulture 2013-14'!G17)/'3rd Horticulture 2013-14'!G17*100</f>
        <v>4.5763681592039651</v>
      </c>
      <c r="H17" s="24">
        <f>(' Horticulture 2013-14(Final)'!H20-'3rd Horticulture 2013-14'!H17)/'3rd Horticulture 2013-14'!H17*100</f>
        <v>5.0909578523843058</v>
      </c>
      <c r="I17" s="24"/>
      <c r="J17" s="24"/>
      <c r="K17" s="24">
        <f>(' Horticulture 2013-14(Final)'!K20-'3rd Horticulture 2013-14'!K17)/'3rd Horticulture 2013-14'!K17*100</f>
        <v>0</v>
      </c>
      <c r="L17" s="24">
        <f>(' Horticulture 2013-14(Final)'!L20-'3rd Horticulture 2013-14'!L17)/'3rd Horticulture 2013-14'!L17*100</f>
        <v>0</v>
      </c>
      <c r="M17" s="24"/>
      <c r="N17" s="24"/>
      <c r="O17" s="25">
        <f>(' Horticulture 2013-14(Final)'!P20-'3rd Horticulture 2013-14'!O17)/'3rd Horticulture 2013-14'!O17*100</f>
        <v>-0.11188501439855109</v>
      </c>
      <c r="P17" s="25">
        <f>(' Horticulture 2013-14(Final)'!Q20-'3rd Horticulture 2013-14'!P17)/'3rd Horticulture 2013-14'!P17*100</f>
        <v>0.16152332316454238</v>
      </c>
    </row>
    <row r="18" spans="1:16" ht="15" x14ac:dyDescent="0.25">
      <c r="A18" s="23" t="s">
        <v>24</v>
      </c>
      <c r="B18" s="24">
        <f>(' Horticulture 2013-14(Final)'!B21-'3rd Horticulture 2013-14'!B18)/'3rd Horticulture 2013-14'!B18*100</f>
        <v>0.92304389825052457</v>
      </c>
      <c r="C18" s="24">
        <f>(' Horticulture 2013-14(Final)'!C21-'3rd Horticulture 2013-14'!C18)/'3rd Horticulture 2013-14'!C18*100</f>
        <v>0</v>
      </c>
      <c r="D18" s="24">
        <f>(' Horticulture 2013-14(Final)'!D21-'3rd Horticulture 2013-14'!D18)/'3rd Horticulture 2013-14'!D18*100</f>
        <v>1.8125529554987623E-14</v>
      </c>
      <c r="E18" s="24">
        <f>(' Horticulture 2013-14(Final)'!E21-'3rd Horticulture 2013-14'!E18)/'3rd Horticulture 2013-14'!E18*100</f>
        <v>-7.0785869434559796E-5</v>
      </c>
      <c r="F18" s="24">
        <f>(' Horticulture 2013-14(Final)'!F21-'3rd Horticulture 2013-14'!F18)/'3rd Horticulture 2013-14'!F18*100</f>
        <v>0</v>
      </c>
      <c r="G18" s="24">
        <f>(' Horticulture 2013-14(Final)'!G21-'3rd Horticulture 2013-14'!G18)/'3rd Horticulture 2013-14'!G18*100</f>
        <v>0</v>
      </c>
      <c r="H18" s="24">
        <f>(' Horticulture 2013-14(Final)'!H21-'3rd Horticulture 2013-14'!H18)/'3rd Horticulture 2013-14'!H18*100</f>
        <v>0</v>
      </c>
      <c r="I18" s="24"/>
      <c r="J18" s="24"/>
      <c r="K18" s="24"/>
      <c r="L18" s="24"/>
      <c r="M18" s="24">
        <f>(' Horticulture 2013-14(Final)'!M21-'3rd Horticulture 2013-14'!M18)/'3rd Horticulture 2013-14'!M18*100</f>
        <v>-7.8333333333333384</v>
      </c>
      <c r="N18" s="24">
        <f>(' Horticulture 2013-14(Final)'!N21-'3rd Horticulture 2013-14'!N18)/'3rd Horticulture 2013-14'!N18*100</f>
        <v>283.33333333333331</v>
      </c>
      <c r="O18" s="25">
        <f>(' Horticulture 2013-14(Final)'!P21-'3rd Horticulture 2013-14'!O18)/'3rd Horticulture 2013-14'!O18*100</f>
        <v>-7.4401299826109782E-2</v>
      </c>
      <c r="P18" s="25">
        <f>(' Horticulture 2013-14(Final)'!Q21-'3rd Horticulture 2013-14'!P18)/'3rd Horticulture 2013-14'!P18*100</f>
        <v>0.27376187528923995</v>
      </c>
    </row>
    <row r="19" spans="1:16" ht="15" x14ac:dyDescent="0.25">
      <c r="A19" s="23" t="s">
        <v>25</v>
      </c>
      <c r="B19" s="24">
        <f>(' Horticulture 2013-14(Final)'!B22-'3rd Horticulture 2013-14'!B19)/'3rd Horticulture 2013-14'!B19*100</f>
        <v>1.4354398702224247E-14</v>
      </c>
      <c r="C19" s="24">
        <f>(' Horticulture 2013-14(Final)'!C22-'3rd Horticulture 2013-14'!C19)/'3rd Horticulture 2013-14'!C19*100</f>
        <v>1.2327860965791968E-2</v>
      </c>
      <c r="D19" s="24">
        <f>(' Horticulture 2013-14(Final)'!D22-'3rd Horticulture 2013-14'!D19)/'3rd Horticulture 2013-14'!D19*100</f>
        <v>-2.6265520534837626E-2</v>
      </c>
      <c r="E19" s="24">
        <f>(' Horticulture 2013-14(Final)'!E22-'3rd Horticulture 2013-14'!E19)/'3rd Horticulture 2013-14'!E19*100</f>
        <v>-1.3332089004104665E-4</v>
      </c>
      <c r="F19" s="24">
        <f>(' Horticulture 2013-14(Final)'!F22-'3rd Horticulture 2013-14'!F19)/'3rd Horticulture 2013-14'!F19*100</f>
        <v>0</v>
      </c>
      <c r="G19" s="24">
        <f>(' Horticulture 2013-14(Final)'!G22-'3rd Horticulture 2013-14'!G19)/'3rd Horticulture 2013-14'!G19*100</f>
        <v>0</v>
      </c>
      <c r="H19" s="24">
        <f>(' Horticulture 2013-14(Final)'!H22-'3rd Horticulture 2013-14'!H19)/'3rd Horticulture 2013-14'!H19*100</f>
        <v>2.5243396487626799E-3</v>
      </c>
      <c r="I19" s="24">
        <f>(' Horticulture 2013-14(Final)'!I22-'3rd Horticulture 2013-14'!I19)/'3rd Horticulture 2013-14'!I19*100</f>
        <v>-5.1282051282051215</v>
      </c>
      <c r="J19" s="24">
        <f>(' Horticulture 2013-14(Final)'!J22-'3rd Horticulture 2013-14'!J19)/'3rd Horticulture 2013-14'!J19*100</f>
        <v>-4.0909090909090846</v>
      </c>
      <c r="K19" s="24">
        <f>(' Horticulture 2013-14(Final)'!K22-'3rd Horticulture 2013-14'!K19)/'3rd Horticulture 2013-14'!K19*100</f>
        <v>-11.314621289188949</v>
      </c>
      <c r="L19" s="24">
        <f>(' Horticulture 2013-14(Final)'!L22-'3rd Horticulture 2013-14'!L19)/'3rd Horticulture 2013-14'!L19*100</f>
        <v>-12.444922366764596</v>
      </c>
      <c r="M19" s="24">
        <f>(' Horticulture 2013-14(Final)'!M22-'3rd Horticulture 2013-14'!M19)/'3rd Horticulture 2013-14'!M19*100</f>
        <v>-0.44598799491803437</v>
      </c>
      <c r="N19" s="24">
        <f>(' Horticulture 2013-14(Final)'!N22-'3rd Horticulture 2013-14'!N19)/'3rd Horticulture 2013-14'!N19*100</f>
        <v>-0.25517887834820047</v>
      </c>
      <c r="O19" s="25">
        <f>(' Horticulture 2013-14(Final)'!P22-'3rd Horticulture 2013-14'!O19)/'3rd Horticulture 2013-14'!O19*100</f>
        <v>-1.4782814430550495</v>
      </c>
      <c r="P19" s="25">
        <f>(' Horticulture 2013-14(Final)'!Q22-'3rd Horticulture 2013-14'!P19)/'3rd Horticulture 2013-14'!P19*100</f>
        <v>8.5703013984616716E-2</v>
      </c>
    </row>
    <row r="20" spans="1:16" ht="15" x14ac:dyDescent="0.25">
      <c r="A20" s="23" t="s">
        <v>26</v>
      </c>
      <c r="B20" s="24">
        <f>(' Horticulture 2013-14(Final)'!B23-'3rd Horticulture 2013-14'!B20)/'3rd Horticulture 2013-14'!B20*100</f>
        <v>19.834243078360991</v>
      </c>
      <c r="C20" s="24">
        <f>(' Horticulture 2013-14(Final)'!C23-'3rd Horticulture 2013-14'!C20)/'3rd Horticulture 2013-14'!C20*100</f>
        <v>11.822352218178555</v>
      </c>
      <c r="D20" s="24">
        <f>(' Horticulture 2013-14(Final)'!D23-'3rd Horticulture 2013-14'!D20)/'3rd Horticulture 2013-14'!D20*100</f>
        <v>1.1609668559373647</v>
      </c>
      <c r="E20" s="24">
        <f>(' Horticulture 2013-14(Final)'!E23-'3rd Horticulture 2013-14'!E20)/'3rd Horticulture 2013-14'!E20*100</f>
        <v>3.6885807324165993</v>
      </c>
      <c r="F20" s="24"/>
      <c r="G20" s="24"/>
      <c r="H20" s="24"/>
      <c r="I20" s="24"/>
      <c r="J20" s="24"/>
      <c r="K20" s="24">
        <f>(' Horticulture 2013-14(Final)'!K23-'3rd Horticulture 2013-14'!K20)/'3rd Horticulture 2013-14'!K20*100</f>
        <v>0</v>
      </c>
      <c r="L20" s="24">
        <f>(' Horticulture 2013-14(Final)'!L23-'3rd Horticulture 2013-14'!L20)/'3rd Horticulture 2013-14'!L20*100</f>
        <v>0</v>
      </c>
      <c r="M20" s="24">
        <f>(' Horticulture 2013-14(Final)'!M23-'3rd Horticulture 2013-14'!M20)/'3rd Horticulture 2013-14'!M20*100</f>
        <v>-9.58279302869324E-2</v>
      </c>
      <c r="N20" s="24">
        <f>(' Horticulture 2013-14(Final)'!N23-'3rd Horticulture 2013-14'!N20)/'3rd Horticulture 2013-14'!N20*100</f>
        <v>2.7182169183843441</v>
      </c>
      <c r="O20" s="25">
        <f>(' Horticulture 2013-14(Final)'!P23-'3rd Horticulture 2013-14'!O20)/'3rd Horticulture 2013-14'!O20*100</f>
        <v>3.8819882460519457</v>
      </c>
      <c r="P20" s="25">
        <f>(' Horticulture 2013-14(Final)'!Q23-'3rd Horticulture 2013-14'!P20)/'3rd Horticulture 2013-14'!P20*100</f>
        <v>5.3068819277686403</v>
      </c>
    </row>
    <row r="21" spans="1:16" ht="15" x14ac:dyDescent="0.25">
      <c r="A21" s="23" t="s">
        <v>56</v>
      </c>
      <c r="B21" s="24">
        <f>(' Horticulture 2013-14(Final)'!B24-'3rd Horticulture 2013-14'!B21)/'3rd Horticulture 2013-14'!B21*100</f>
        <v>0</v>
      </c>
      <c r="C21" s="24">
        <f>(' Horticulture 2013-14(Final)'!C24-'3rd Horticulture 2013-14'!C21)/'3rd Horticulture 2013-14'!C21*100</f>
        <v>0</v>
      </c>
      <c r="D21" s="24">
        <f>(' Horticulture 2013-14(Final)'!D24-'3rd Horticulture 2013-14'!D21)/'3rd Horticulture 2013-14'!D21*100</f>
        <v>0</v>
      </c>
      <c r="E21" s="24">
        <f>(' Horticulture 2013-14(Final)'!E24-'3rd Horticulture 2013-14'!E21)/'3rd Horticulture 2013-14'!E21*100</f>
        <v>0</v>
      </c>
      <c r="F21" s="24"/>
      <c r="G21" s="24"/>
      <c r="H21" s="24"/>
      <c r="I21" s="24"/>
      <c r="J21" s="24"/>
      <c r="K21" s="24"/>
      <c r="L21" s="24"/>
      <c r="M21" s="24">
        <f>(' Horticulture 2013-14(Final)'!M24-'3rd Horticulture 2013-14'!M21)/'3rd Horticulture 2013-14'!M21*100</f>
        <v>0</v>
      </c>
      <c r="N21" s="24">
        <f>(' Horticulture 2013-14(Final)'!N24-'3rd Horticulture 2013-14'!N21)/'3rd Horticulture 2013-14'!N21*100</f>
        <v>0</v>
      </c>
      <c r="O21" s="25">
        <f>(' Horticulture 2013-14(Final)'!P24-'3rd Horticulture 2013-14'!O21)/'3rd Horticulture 2013-14'!O21*100</f>
        <v>0</v>
      </c>
      <c r="P21" s="25">
        <f>(' Horticulture 2013-14(Final)'!Q24-'3rd Horticulture 2013-14'!P21)/'3rd Horticulture 2013-14'!P21*100</f>
        <v>0</v>
      </c>
    </row>
    <row r="22" spans="1:16" ht="15" x14ac:dyDescent="0.25">
      <c r="A22" s="23" t="s">
        <v>27</v>
      </c>
      <c r="B22" s="24">
        <f>(' Horticulture 2013-14(Final)'!B25-'3rd Horticulture 2013-14'!B22)/'3rd Horticulture 2013-14'!B22*100</f>
        <v>-1.4721108597548949E-3</v>
      </c>
      <c r="C22" s="24">
        <f>(' Horticulture 2013-14(Final)'!C25-'3rd Horticulture 2013-14'!C22)/'3rd Horticulture 2013-14'!C22*100</f>
        <v>7.2014617263131117E-2</v>
      </c>
      <c r="D22" s="24">
        <f>(' Horticulture 2013-14(Final)'!D25-'3rd Horticulture 2013-14'!D22)/'3rd Horticulture 2013-14'!D22*100</f>
        <v>4.646485220356638E-2</v>
      </c>
      <c r="E22" s="24">
        <f>(' Horticulture 2013-14(Final)'!E25-'3rd Horticulture 2013-14'!E22)/'3rd Horticulture 2013-14'!E22*100</f>
        <v>0.68682572212984405</v>
      </c>
      <c r="F22" s="24">
        <f>(' Horticulture 2013-14(Final)'!F25-'3rd Horticulture 2013-14'!F22)/'3rd Horticulture 2013-14'!F22*100</f>
        <v>0</v>
      </c>
      <c r="G22" s="24">
        <f>(' Horticulture 2013-14(Final)'!G25-'3rd Horticulture 2013-14'!G22)/'3rd Horticulture 2013-14'!G22*100</f>
        <v>0.44812030075188247</v>
      </c>
      <c r="H22" s="24"/>
      <c r="I22" s="24">
        <f>(' Horticulture 2013-14(Final)'!I25-'3rd Horticulture 2013-14'!I22)/'3rd Horticulture 2013-14'!I22*100</f>
        <v>0</v>
      </c>
      <c r="J22" s="24">
        <f>(' Horticulture 2013-14(Final)'!J25-'3rd Horticulture 2013-14'!J22)/'3rd Horticulture 2013-14'!J22*100</f>
        <v>0</v>
      </c>
      <c r="K22" s="24">
        <f>(' Horticulture 2013-14(Final)'!K25-'3rd Horticulture 2013-14'!K22)/'3rd Horticulture 2013-14'!K22*100</f>
        <v>0</v>
      </c>
      <c r="L22" s="24">
        <f>(' Horticulture 2013-14(Final)'!L25-'3rd Horticulture 2013-14'!L22)/'3rd Horticulture 2013-14'!L22*100</f>
        <v>0</v>
      </c>
      <c r="M22" s="24"/>
      <c r="N22" s="24"/>
      <c r="O22" s="25">
        <f>(' Horticulture 2013-14(Final)'!P25-'3rd Horticulture 2013-14'!O22)/'3rd Horticulture 2013-14'!O22*100</f>
        <v>2.4120619791445499E-2</v>
      </c>
      <c r="P22" s="25">
        <f>(' Horticulture 2013-14(Final)'!Q25-'3rd Horticulture 2013-14'!P22)/'3rd Horticulture 2013-14'!P22*100</f>
        <v>0.4842467253401429</v>
      </c>
    </row>
    <row r="23" spans="1:16" ht="15" x14ac:dyDescent="0.25">
      <c r="A23" s="23" t="s">
        <v>28</v>
      </c>
      <c r="B23" s="24">
        <f>(' Horticulture 2013-14(Final)'!B26-'3rd Horticulture 2013-14'!B23)/'3rd Horticulture 2013-14'!B23*100</f>
        <v>0</v>
      </c>
      <c r="C23" s="24">
        <f>(' Horticulture 2013-14(Final)'!C26-'3rd Horticulture 2013-14'!C23)/'3rd Horticulture 2013-14'!C23*100</f>
        <v>20.893999281351061</v>
      </c>
      <c r="D23" s="24">
        <f>(' Horticulture 2013-14(Final)'!D26-'3rd Horticulture 2013-14'!D23)/'3rd Horticulture 2013-14'!D23*100</f>
        <v>0</v>
      </c>
      <c r="E23" s="24">
        <f>(' Horticulture 2013-14(Final)'!E26-'3rd Horticulture 2013-14'!E23)/'3rd Horticulture 2013-14'!E23*100</f>
        <v>-2.4401881720430114</v>
      </c>
      <c r="F23" s="24">
        <f>(' Horticulture 2013-14(Final)'!F26-'3rd Horticulture 2013-14'!F23)/'3rd Horticulture 2013-14'!F23*100</f>
        <v>0</v>
      </c>
      <c r="G23" s="24">
        <f>(' Horticulture 2013-14(Final)'!G26-'3rd Horticulture 2013-14'!G23)/'3rd Horticulture 2013-14'!G23*100</f>
        <v>2.2083333333333264</v>
      </c>
      <c r="H23" s="24">
        <f>(' Horticulture 2013-14(Final)'!H26-'3rd Horticulture 2013-14'!H23)/'3rd Horticulture 2013-14'!H23*100</f>
        <v>0</v>
      </c>
      <c r="I23" s="24"/>
      <c r="J23" s="24"/>
      <c r="K23" s="24">
        <f>(' Horticulture 2013-14(Final)'!K26-'3rd Horticulture 2013-14'!K23)/'3rd Horticulture 2013-14'!K23*100</f>
        <v>0</v>
      </c>
      <c r="L23" s="24">
        <f>(' Horticulture 2013-14(Final)'!L26-'3rd Horticulture 2013-14'!L23)/'3rd Horticulture 2013-14'!L23*100</f>
        <v>0</v>
      </c>
      <c r="M23" s="24">
        <f>(' Horticulture 2013-14(Final)'!M26-'3rd Horticulture 2013-14'!M23)/'3rd Horticulture 2013-14'!M23*100</f>
        <v>0</v>
      </c>
      <c r="N23" s="24">
        <f>(' Horticulture 2013-14(Final)'!N26-'3rd Horticulture 2013-14'!N23)/'3rd Horticulture 2013-14'!N23*100</f>
        <v>-1.7083766424135882</v>
      </c>
      <c r="O23" s="25">
        <f>(' Horticulture 2013-14(Final)'!P26-'3rd Horticulture 2013-14'!O23)/'3rd Horticulture 2013-14'!O23*100</f>
        <v>0</v>
      </c>
      <c r="P23" s="25">
        <f>(' Horticulture 2013-14(Final)'!Q26-'3rd Horticulture 2013-14'!P23)/'3rd Horticulture 2013-14'!P23*100</f>
        <v>9.5383388444364279</v>
      </c>
    </row>
    <row r="24" spans="1:16" ht="15" x14ac:dyDescent="0.25">
      <c r="A24" s="23" t="s">
        <v>29</v>
      </c>
      <c r="B24" s="24">
        <f>(' Horticulture 2013-14(Final)'!B27-'3rd Horticulture 2013-14'!B24)/'3rd Horticulture 2013-14'!B24*100</f>
        <v>0</v>
      </c>
      <c r="C24" s="24">
        <f>(' Horticulture 2013-14(Final)'!C27-'3rd Horticulture 2013-14'!C24)/'3rd Horticulture 2013-14'!C24*100</f>
        <v>0</v>
      </c>
      <c r="D24" s="24">
        <f>(' Horticulture 2013-14(Final)'!D27-'3rd Horticulture 2013-14'!D24)/'3rd Horticulture 2013-14'!D24*100</f>
        <v>-1.410366684716356E-14</v>
      </c>
      <c r="E24" s="24">
        <f>(' Horticulture 2013-14(Final)'!E27-'3rd Horticulture 2013-14'!E24)/'3rd Horticulture 2013-14'!E24*100</f>
        <v>0</v>
      </c>
      <c r="F24" s="24">
        <f>(' Horticulture 2013-14(Final)'!F27-'3rd Horticulture 2013-14'!F24)/'3rd Horticulture 2013-14'!F24*100</f>
        <v>-0.13140604467805531</v>
      </c>
      <c r="G24" s="24">
        <f>(' Horticulture 2013-14(Final)'!G27-'3rd Horticulture 2013-14'!G24)/'3rd Horticulture 2013-14'!G24*100</f>
        <v>0.71428571428569498</v>
      </c>
      <c r="H24" s="24">
        <f>(' Horticulture 2013-14(Final)'!H27-'3rd Horticulture 2013-14'!H24)/'3rd Horticulture 2013-14'!H24*100</f>
        <v>-20.593368237347288</v>
      </c>
      <c r="I24" s="24"/>
      <c r="J24" s="24"/>
      <c r="K24" s="24">
        <f>(' Horticulture 2013-14(Final)'!K27-'3rd Horticulture 2013-14'!K24)/'3rd Horticulture 2013-14'!K24*100</f>
        <v>0</v>
      </c>
      <c r="L24" s="24">
        <f>(' Horticulture 2013-14(Final)'!L27-'3rd Horticulture 2013-14'!L24)/'3rd Horticulture 2013-14'!L24*100</f>
        <v>0</v>
      </c>
      <c r="M24" s="24"/>
      <c r="N24" s="24"/>
      <c r="O24" s="25">
        <f>(' Horticulture 2013-14(Final)'!P27-'3rd Horticulture 2013-14'!O24)/'3rd Horticulture 2013-14'!O24*100</f>
        <v>0.99368858529254156</v>
      </c>
      <c r="P24" s="25">
        <f>(' Horticulture 2013-14(Final)'!Q27-'3rd Horticulture 2013-14'!P24)/'3rd Horticulture 2013-14'!P24*100</f>
        <v>0.18637462587411277</v>
      </c>
    </row>
    <row r="25" spans="1:16" ht="15" x14ac:dyDescent="0.25">
      <c r="A25" s="23" t="s">
        <v>30</v>
      </c>
      <c r="B25" s="24">
        <f>(' Horticulture 2013-14(Final)'!B28-'3rd Horticulture 2013-14'!B25)/'3rd Horticulture 2013-14'!B25*100</f>
        <v>1.699861178003861E-2</v>
      </c>
      <c r="C25" s="24">
        <f>(' Horticulture 2013-14(Final)'!C28-'3rd Horticulture 2013-14'!C25)/'3rd Horticulture 2013-14'!C25*100</f>
        <v>-8.7280578348666857E-2</v>
      </c>
      <c r="D25" s="24">
        <f>(' Horticulture 2013-14(Final)'!D28-'3rd Horticulture 2013-14'!D25)/'3rd Horticulture 2013-14'!D25*100</f>
        <v>5.2781533706779804</v>
      </c>
      <c r="E25" s="24">
        <f>(' Horticulture 2013-14(Final)'!E28-'3rd Horticulture 2013-14'!E25)/'3rd Horticulture 2013-14'!E25*100</f>
        <v>20.435759072861011</v>
      </c>
      <c r="F25" s="24">
        <f>(' Horticulture 2013-14(Final)'!F28-'3rd Horticulture 2013-14'!F25)/'3rd Horticulture 2013-14'!F25*100</f>
        <v>333.33333333333337</v>
      </c>
      <c r="G25" s="24"/>
      <c r="H25" s="24">
        <f>(' Horticulture 2013-14(Final)'!H28-'3rd Horticulture 2013-14'!H25)/'3rd Horticulture 2013-14'!H25*100</f>
        <v>-48.617394179894177</v>
      </c>
      <c r="I25" s="24"/>
      <c r="J25" s="24"/>
      <c r="K25" s="24">
        <f>(' Horticulture 2013-14(Final)'!K28-'3rd Horticulture 2013-14'!K25)/'3rd Horticulture 2013-14'!K25*100</f>
        <v>0.64404830362278254</v>
      </c>
      <c r="L25" s="24">
        <f>(' Horticulture 2013-14(Final)'!L28-'3rd Horticulture 2013-14'!L25)/'3rd Horticulture 2013-14'!L25*100</f>
        <v>12.124047587220971</v>
      </c>
      <c r="M25" s="24">
        <f>(' Horticulture 2013-14(Final)'!M28-'3rd Horticulture 2013-14'!M25)/'3rd Horticulture 2013-14'!M25*100</f>
        <v>10.769896193771636</v>
      </c>
      <c r="N25" s="24">
        <f>(' Horticulture 2013-14(Final)'!N28-'3rd Horticulture 2013-14'!N25)/'3rd Horticulture 2013-14'!N25*100</f>
        <v>-1.8036072144288551</v>
      </c>
      <c r="O25" s="25">
        <f>(' Horticulture 2013-14(Final)'!P28-'3rd Horticulture 2013-14'!O25)/'3rd Horticulture 2013-14'!O25*100</f>
        <v>4.1233420053738117</v>
      </c>
      <c r="P25" s="25">
        <f>(' Horticulture 2013-14(Final)'!Q28-'3rd Horticulture 2013-14'!P25)/'3rd Horticulture 2013-14'!P25*100</f>
        <v>11.129078401133894</v>
      </c>
    </row>
    <row r="26" spans="1:16" ht="15" x14ac:dyDescent="0.25">
      <c r="A26" s="23" t="s">
        <v>31</v>
      </c>
      <c r="B26" s="24">
        <f>(' Horticulture 2013-14(Final)'!B29-'3rd Horticulture 2013-14'!B26)/'3rd Horticulture 2013-14'!B26*100</f>
        <v>-0.59074499507712286</v>
      </c>
      <c r="C26" s="24">
        <f>(' Horticulture 2013-14(Final)'!C29-'3rd Horticulture 2013-14'!C26)/'3rd Horticulture 2013-14'!C26*100</f>
        <v>-0.15532909444590343</v>
      </c>
      <c r="D26" s="24">
        <f>(' Horticulture 2013-14(Final)'!D29-'3rd Horticulture 2013-14'!D26)/'3rd Horticulture 2013-14'!D26*100</f>
        <v>-4.1402313864527089</v>
      </c>
      <c r="E26" s="24">
        <f>(' Horticulture 2013-14(Final)'!E29-'3rd Horticulture 2013-14'!E26)/'3rd Horticulture 2013-14'!E26*100</f>
        <v>-2.4500809912406663</v>
      </c>
      <c r="F26" s="24">
        <f>(' Horticulture 2013-14(Final)'!F29-'3rd Horticulture 2013-14'!F26)/'3rd Horticulture 2013-14'!F26*100</f>
        <v>-16.101694915254228</v>
      </c>
      <c r="G26" s="24">
        <f>(' Horticulture 2013-14(Final)'!G29-'3rd Horticulture 2013-14'!G26)/'3rd Horticulture 2013-14'!G26*100</f>
        <v>5.8319239517113382E-2</v>
      </c>
      <c r="H26" s="24">
        <f>(' Horticulture 2013-14(Final)'!H29-'3rd Horticulture 2013-14'!H26)/'3rd Horticulture 2013-14'!H26*100</f>
        <v>-59.374073940810646</v>
      </c>
      <c r="I26" s="24">
        <f>(' Horticulture 2013-14(Final)'!I29-'3rd Horticulture 2013-14'!I26)/'3rd Horticulture 2013-14'!I26*100</f>
        <v>0</v>
      </c>
      <c r="J26" s="24">
        <f>(' Horticulture 2013-14(Final)'!J29-'3rd Horticulture 2013-14'!J26)/'3rd Horticulture 2013-14'!J26*100</f>
        <v>0</v>
      </c>
      <c r="K26" s="24">
        <f>(' Horticulture 2013-14(Final)'!K29-'3rd Horticulture 2013-14'!K26)/'3rd Horticulture 2013-14'!K26*100</f>
        <v>0</v>
      </c>
      <c r="L26" s="24">
        <f>(' Horticulture 2013-14(Final)'!L29-'3rd Horticulture 2013-14'!L26)/'3rd Horticulture 2013-14'!L26*100</f>
        <v>0</v>
      </c>
      <c r="M26" s="24">
        <f>(' Horticulture 2013-14(Final)'!M29-'3rd Horticulture 2013-14'!M26)/'3rd Horticulture 2013-14'!M26*100</f>
        <v>-0.39308176100628101</v>
      </c>
      <c r="N26" s="24">
        <f>(' Horticulture 2013-14(Final)'!N29-'3rd Horticulture 2013-14'!N26)/'3rd Horticulture 2013-14'!N26*100</f>
        <v>-0.67658998646820578</v>
      </c>
      <c r="O26" s="25">
        <f>(' Horticulture 2013-14(Final)'!P29-'3rd Horticulture 2013-14'!O26)/'3rd Horticulture 2013-14'!O26*100</f>
        <v>-1.6526362763117322</v>
      </c>
      <c r="P26" s="25">
        <f>(' Horticulture 2013-14(Final)'!Q29-'3rd Horticulture 2013-14'!P26)/'3rd Horticulture 2013-14'!P26*100</f>
        <v>-0.66807794899026574</v>
      </c>
    </row>
    <row r="27" spans="1:16" ht="15" x14ac:dyDescent="0.25">
      <c r="A27" s="23" t="s">
        <v>32</v>
      </c>
      <c r="B27" s="24">
        <f>(' Horticulture 2013-14(Final)'!B30-'3rd Horticulture 2013-14'!B27)/'3rd Horticulture 2013-14'!B27*100</f>
        <v>0.98854581673302844</v>
      </c>
      <c r="C27" s="24">
        <f>(' Horticulture 2013-14(Final)'!C30-'3rd Horticulture 2013-14'!C27)/'3rd Horticulture 2013-14'!C27*100</f>
        <v>9.3828179059988273</v>
      </c>
      <c r="D27" s="24">
        <f>(' Horticulture 2013-14(Final)'!D30-'3rd Horticulture 2013-14'!D27)/'3rd Horticulture 2013-14'!D27*100</f>
        <v>-26.543445121951208</v>
      </c>
      <c r="E27" s="24">
        <f>(' Horticulture 2013-14(Final)'!E30-'3rd Horticulture 2013-14'!E27)/'3rd Horticulture 2013-14'!E27*100</f>
        <v>1.8585407228118163</v>
      </c>
      <c r="F27" s="24">
        <f>(' Horticulture 2013-14(Final)'!F30-'3rd Horticulture 2013-14'!F27)/'3rd Horticulture 2013-14'!F27*100</f>
        <v>-1.42566191446028</v>
      </c>
      <c r="G27" s="24"/>
      <c r="H27" s="24">
        <f>(' Horticulture 2013-14(Final)'!H30-'3rd Horticulture 2013-14'!H27)/'3rd Horticulture 2013-14'!H27*100</f>
        <v>-9.6863730116973237</v>
      </c>
      <c r="I27" s="24"/>
      <c r="J27" s="24"/>
      <c r="K27" s="24">
        <f>(' Horticulture 2013-14(Final)'!K30-'3rd Horticulture 2013-14'!K27)/'3rd Horticulture 2013-14'!K27*100</f>
        <v>0</v>
      </c>
      <c r="L27" s="24">
        <f>(' Horticulture 2013-14(Final)'!L30-'3rd Horticulture 2013-14'!L27)/'3rd Horticulture 2013-14'!L27*100</f>
        <v>0</v>
      </c>
      <c r="M27" s="24">
        <f>(' Horticulture 2013-14(Final)'!M30-'3rd Horticulture 2013-14'!M27)/'3rd Horticulture 2013-14'!M27*100</f>
        <v>3.0864197530864228</v>
      </c>
      <c r="N27" s="24">
        <f>(' Horticulture 2013-14(Final)'!N30-'3rd Horticulture 2013-14'!N27)/'3rd Horticulture 2013-14'!N27*100</f>
        <v>0.26501766784453307</v>
      </c>
      <c r="O27" s="25">
        <f>(' Horticulture 2013-14(Final)'!P30-'3rd Horticulture 2013-14'!O27)/'3rd Horticulture 2013-14'!O27*100</f>
        <v>-12.959595662506921</v>
      </c>
      <c r="P27" s="25">
        <f>(' Horticulture 2013-14(Final)'!Q30-'3rd Horticulture 2013-14'!P27)/'3rd Horticulture 2013-14'!P27*100</f>
        <v>4.9063736059701313</v>
      </c>
    </row>
    <row r="28" spans="1:16" ht="15" x14ac:dyDescent="0.25">
      <c r="A28" s="23" t="s">
        <v>189</v>
      </c>
      <c r="B28" s="24">
        <f>(' Horticulture 2013-14(Final)'!B31-'3rd Horticulture 2013-14'!B28)/'3rd Horticulture 2013-14'!B28*100</f>
        <v>0</v>
      </c>
      <c r="C28" s="24">
        <f>(' Horticulture 2013-14(Final)'!C31-'3rd Horticulture 2013-14'!C28)/'3rd Horticulture 2013-14'!C28*100</f>
        <v>0</v>
      </c>
      <c r="D28" s="24">
        <f>(' Horticulture 2013-14(Final)'!D31-'3rd Horticulture 2013-14'!D28)/'3rd Horticulture 2013-14'!D28*100</f>
        <v>0</v>
      </c>
      <c r="E28" s="24">
        <f>(' Horticulture 2013-14(Final)'!E31-'3rd Horticulture 2013-14'!E28)/'3rd Horticulture 2013-14'!E28*100</f>
        <v>0</v>
      </c>
      <c r="F28" s="24">
        <f>(' Horticulture 2013-14(Final)'!F31-'3rd Horticulture 2013-14'!F28)/'3rd Horticulture 2013-14'!F28*100</f>
        <v>5.37923614846752E-2</v>
      </c>
      <c r="G28" s="24">
        <f>(' Horticulture 2013-14(Final)'!G31-'3rd Horticulture 2013-14'!G28)/'3rd Horticulture 2013-14'!G28*100</f>
        <v>-2.6737253014562966E-3</v>
      </c>
      <c r="H28" s="24">
        <f>(' Horticulture 2013-14(Final)'!H31-'3rd Horticulture 2013-14'!H28)/'3rd Horticulture 2013-14'!H28*100</f>
        <v>-2.419099722733405E-2</v>
      </c>
      <c r="I28" s="24">
        <f>(' Horticulture 2013-14(Final)'!I31-'3rd Horticulture 2013-14'!I28)/'3rd Horticulture 2013-14'!I28*100</f>
        <v>0</v>
      </c>
      <c r="J28" s="24">
        <f>(' Horticulture 2013-14(Final)'!J31-'3rd Horticulture 2013-14'!J28)/'3rd Horticulture 2013-14'!J28*100</f>
        <v>0</v>
      </c>
      <c r="K28" s="24">
        <f>(' Horticulture 2013-14(Final)'!K31-'3rd Horticulture 2013-14'!K28)/'3rd Horticulture 2013-14'!K28*100</f>
        <v>0</v>
      </c>
      <c r="L28" s="24">
        <f>(' Horticulture 2013-14(Final)'!L31-'3rd Horticulture 2013-14'!L28)/'3rd Horticulture 2013-14'!L28*100</f>
        <v>0</v>
      </c>
      <c r="M28" s="24">
        <f>(' Horticulture 2013-14(Final)'!M31-'3rd Horticulture 2013-14'!M28)/'3rd Horticulture 2013-14'!M28*100</f>
        <v>0</v>
      </c>
      <c r="N28" s="24">
        <f>(' Horticulture 2013-14(Final)'!N31-'3rd Horticulture 2013-14'!N28)/'3rd Horticulture 2013-14'!N28*100</f>
        <v>-46.454103269806659</v>
      </c>
      <c r="O28" s="25">
        <f>(' Horticulture 2013-14(Final)'!P31-'3rd Horticulture 2013-14'!O28)/'3rd Horticulture 2013-14'!O28*100</f>
        <v>2.955167886879709E-4</v>
      </c>
      <c r="P28" s="25">
        <f>(' Horticulture 2013-14(Final)'!Q31-'3rd Horticulture 2013-14'!P28)/'3rd Horticulture 2013-14'!P28*100</f>
        <v>-1.6981852624210507</v>
      </c>
    </row>
    <row r="29" spans="1:16" ht="15" x14ac:dyDescent="0.25">
      <c r="A29" s="23" t="s">
        <v>167</v>
      </c>
      <c r="B29" s="24">
        <f>(' Horticulture 2013-14(Final)'!B32-'3rd Horticulture 2013-14'!B29)/'3rd Horticulture 2013-14'!B29*100</f>
        <v>0</v>
      </c>
      <c r="C29" s="24">
        <f>(' Horticulture 2013-14(Final)'!C32-'3rd Horticulture 2013-14'!C29)/'3rd Horticulture 2013-14'!C29*100</f>
        <v>0</v>
      </c>
      <c r="D29" s="24">
        <f>(' Horticulture 2013-14(Final)'!D32-'3rd Horticulture 2013-14'!D29)/'3rd Horticulture 2013-14'!D29*100</f>
        <v>0</v>
      </c>
      <c r="E29" s="24">
        <f>(' Horticulture 2013-14(Final)'!E32-'3rd Horticulture 2013-14'!E29)/'3rd Horticulture 2013-14'!E29*100</f>
        <v>0</v>
      </c>
      <c r="F29" s="24">
        <f>(' Horticulture 2013-14(Final)'!F32-'3rd Horticulture 2013-14'!F29)/'3rd Horticulture 2013-14'!F29*100</f>
        <v>0</v>
      </c>
      <c r="G29" s="24">
        <f>(' Horticulture 2013-14(Final)'!G32-'3rd Horticulture 2013-14'!G29)/'3rd Horticulture 2013-14'!G29*100</f>
        <v>0</v>
      </c>
      <c r="H29" s="24"/>
      <c r="I29" s="24"/>
      <c r="J29" s="24"/>
      <c r="K29" s="24">
        <f>(' Horticulture 2013-14(Final)'!K32-'3rd Horticulture 2013-14'!K29)/'3rd Horticulture 2013-14'!K29*100</f>
        <v>0</v>
      </c>
      <c r="L29" s="24">
        <f>(' Horticulture 2013-14(Final)'!L32-'3rd Horticulture 2013-14'!L29)/'3rd Horticulture 2013-14'!L29*100</f>
        <v>0</v>
      </c>
      <c r="M29" s="24">
        <f>(' Horticulture 2013-14(Final)'!M32-'3rd Horticulture 2013-14'!M29)/'3rd Horticulture 2013-14'!M29*100</f>
        <v>247.77006937561941</v>
      </c>
      <c r="N29" s="24">
        <f>(' Horticulture 2013-14(Final)'!N32-'3rd Horticulture 2013-14'!N29)/'3rd Horticulture 2013-14'!N29*100</f>
        <v>12.74426508071368</v>
      </c>
      <c r="O29" s="25">
        <f>(' Horticulture 2013-14(Final)'!P32-'3rd Horticulture 2013-14'!O29)/'3rd Horticulture 2013-14'!O29*100</f>
        <v>131.80440226703573</v>
      </c>
      <c r="P29" s="25">
        <f>(' Horticulture 2013-14(Final)'!Q32-'3rd Horticulture 2013-14'!P29)/'3rd Horticulture 2013-14'!P29*100</f>
        <v>5.5601890464275785</v>
      </c>
    </row>
    <row r="30" spans="1:16" ht="15" x14ac:dyDescent="0.25">
      <c r="A30" s="23" t="s">
        <v>33</v>
      </c>
      <c r="B30" s="24">
        <f>(' Horticulture 2013-14(Final)'!B33-'3rd Horticulture 2013-14'!B30)/'3rd Horticulture 2013-14'!B30*100</f>
        <v>-0.46523716699153989</v>
      </c>
      <c r="C30" s="24">
        <f>(' Horticulture 2013-14(Final)'!C33-'3rd Horticulture 2013-14'!C30)/'3rd Horticulture 2013-14'!C30*100</f>
        <v>0.82650250881519893</v>
      </c>
      <c r="D30" s="24">
        <f>(' Horticulture 2013-14(Final)'!D33-'3rd Horticulture 2013-14'!D30)/'3rd Horticulture 2013-14'!D30*100</f>
        <v>1.0994764397898734E-2</v>
      </c>
      <c r="E30" s="24">
        <f>(' Horticulture 2013-14(Final)'!E33-'3rd Horticulture 2013-14'!E30)/'3rd Horticulture 2013-14'!E30*100</f>
        <v>0.35461517280764382</v>
      </c>
      <c r="F30" s="24">
        <f>(' Horticulture 2013-14(Final)'!F33-'3rd Horticulture 2013-14'!F30)/'3rd Horticulture 2013-14'!F30*100</f>
        <v>7.407407407406591E-2</v>
      </c>
      <c r="G30" s="24">
        <f>(' Horticulture 2013-14(Final)'!G33-'3rd Horticulture 2013-14'!G30)/'3rd Horticulture 2013-14'!G30*100</f>
        <v>2.8680688336504178E-2</v>
      </c>
      <c r="H30" s="24"/>
      <c r="I30" s="24">
        <f>(' Horticulture 2013-14(Final)'!I33-'3rd Horticulture 2013-14'!I30)/'3rd Horticulture 2013-14'!I30*100</f>
        <v>54.410143329658226</v>
      </c>
      <c r="J30" s="24">
        <f>(' Horticulture 2013-14(Final)'!J33-'3rd Horticulture 2013-14'!J30)/'3rd Horticulture 2013-14'!J30*100</f>
        <v>50.538922155688617</v>
      </c>
      <c r="K30" s="24">
        <f>(' Horticulture 2013-14(Final)'!K33-'3rd Horticulture 2013-14'!K30)/'3rd Horticulture 2013-14'!K30*100</f>
        <v>-0.10443864229764792</v>
      </c>
      <c r="L30" s="24">
        <f>(' Horticulture 2013-14(Final)'!L33-'3rd Horticulture 2013-14'!L30)/'3rd Horticulture 2013-14'!L30*100</f>
        <v>0</v>
      </c>
      <c r="M30" s="24"/>
      <c r="N30" s="24"/>
      <c r="O30" s="25">
        <f>(' Horticulture 2013-14(Final)'!P33-'3rd Horticulture 2013-14'!O30)/'3rd Horticulture 2013-14'!O30*100</f>
        <v>1.5390561979026451</v>
      </c>
      <c r="P30" s="25">
        <f>(' Horticulture 2013-14(Final)'!Q33-'3rd Horticulture 2013-14'!P30)/'3rd Horticulture 2013-14'!P30*100</f>
        <v>0.7479300462238373</v>
      </c>
    </row>
    <row r="31" spans="1:16" ht="15" x14ac:dyDescent="0.25">
      <c r="A31" s="23" t="s">
        <v>34</v>
      </c>
      <c r="B31" s="24">
        <f>(' Horticulture 2013-14(Final)'!B34-'3rd Horticulture 2013-14'!B31)/'3rd Horticulture 2013-14'!B31*100</f>
        <v>-34.52906162464987</v>
      </c>
      <c r="C31" s="24">
        <f>(' Horticulture 2013-14(Final)'!C34-'3rd Horticulture 2013-14'!C31)/'3rd Horticulture 2013-14'!C31*100</f>
        <v>-25.264821118890129</v>
      </c>
      <c r="D31" s="24">
        <f>(' Horticulture 2013-14(Final)'!D34-'3rd Horticulture 2013-14'!D31)/'3rd Horticulture 2013-14'!D31*100</f>
        <v>-9.8625658412544759</v>
      </c>
      <c r="E31" s="24">
        <f>(' Horticulture 2013-14(Final)'!E34-'3rd Horticulture 2013-14'!E31)/'3rd Horticulture 2013-14'!E31*100</f>
        <v>-34.662099947803341</v>
      </c>
      <c r="F31" s="24">
        <f>(' Horticulture 2013-14(Final)'!F34-'3rd Horticulture 2013-14'!F31)/'3rd Horticulture 2013-14'!F31*100</f>
        <v>-26.239067055393594</v>
      </c>
      <c r="G31" s="24">
        <f>(' Horticulture 2013-14(Final)'!G34-'3rd Horticulture 2013-14'!G31)/'3rd Horticulture 2013-14'!G31*100</f>
        <v>-26.612903225806456</v>
      </c>
      <c r="H31" s="24"/>
      <c r="I31" s="24">
        <f>(' Horticulture 2013-14(Final)'!I34-'3rd Horticulture 2013-14'!I31)/'3rd Horticulture 2013-14'!I31*100</f>
        <v>-22.475526351079512</v>
      </c>
      <c r="J31" s="24">
        <f>(' Horticulture 2013-14(Final)'!J34-'3rd Horticulture 2013-14'!J31)/'3rd Horticulture 2013-14'!J31*100</f>
        <v>-22.067711598746079</v>
      </c>
      <c r="K31" s="24">
        <f>(' Horticulture 2013-14(Final)'!K34-'3rd Horticulture 2013-14'!K31)/'3rd Horticulture 2013-14'!K31*100</f>
        <v>-5.4029751165563749</v>
      </c>
      <c r="L31" s="24">
        <f>(' Horticulture 2013-14(Final)'!L34-'3rd Horticulture 2013-14'!L31)/'3rd Horticulture 2013-14'!L31*100</f>
        <v>-14.107524691986551</v>
      </c>
      <c r="M31" s="24"/>
      <c r="N31" s="24"/>
      <c r="O31" s="25">
        <f>(' Horticulture 2013-14(Final)'!P34-'3rd Horticulture 2013-14'!O31)/'3rd Horticulture 2013-14'!O31*100</f>
        <v>-10.843554608690523</v>
      </c>
      <c r="P31" s="25">
        <f>(' Horticulture 2013-14(Final)'!Q34-'3rd Horticulture 2013-14'!P31)/'3rd Horticulture 2013-14'!P31*100</f>
        <v>-27.179557399400998</v>
      </c>
    </row>
    <row r="32" spans="1:16" ht="15" x14ac:dyDescent="0.25">
      <c r="A32" s="23" t="s">
        <v>35</v>
      </c>
      <c r="B32" s="24">
        <f>(' Horticulture 2013-14(Final)'!B35-'3rd Horticulture 2013-14'!B32)/'3rd Horticulture 2013-14'!B32*100</f>
        <v>0</v>
      </c>
      <c r="C32" s="24">
        <f>(' Horticulture 2013-14(Final)'!C35-'3rd Horticulture 2013-14'!C32)/'3rd Horticulture 2013-14'!C32*100</f>
        <v>3.327648600307441E-2</v>
      </c>
      <c r="D32" s="24">
        <f>(' Horticulture 2013-14(Final)'!D35-'3rd Horticulture 2013-14'!D32)/'3rd Horticulture 2013-14'!D32*100</f>
        <v>0.34971753583644394</v>
      </c>
      <c r="E32" s="24">
        <f>(' Horticulture 2013-14(Final)'!E35-'3rd Horticulture 2013-14'!E32)/'3rd Horticulture 2013-14'!E32*100</f>
        <v>0.34985118270588073</v>
      </c>
      <c r="F32" s="24">
        <f>(' Horticulture 2013-14(Final)'!F35-'3rd Horticulture 2013-14'!F32)/'3rd Horticulture 2013-14'!F32*100</f>
        <v>0</v>
      </c>
      <c r="G32" s="24">
        <f>(' Horticulture 2013-14(Final)'!G35-'3rd Horticulture 2013-14'!G32)/'3rd Horticulture 2013-14'!G32*100</f>
        <v>-43.262411347517727</v>
      </c>
      <c r="H32" s="24">
        <f>(' Horticulture 2013-14(Final)'!H35-'3rd Horticulture 2013-14'!H32)/'3rd Horticulture 2013-14'!H32*100</f>
        <v>7.8076070080117148</v>
      </c>
      <c r="I32" s="24"/>
      <c r="J32" s="24"/>
      <c r="K32" s="24">
        <f>(' Horticulture 2013-14(Final)'!K35-'3rd Horticulture 2013-14'!K32)/'3rd Horticulture 2013-14'!K32*100</f>
        <v>0</v>
      </c>
      <c r="L32" s="24">
        <f>(' Horticulture 2013-14(Final)'!L35-'3rd Horticulture 2013-14'!L32)/'3rd Horticulture 2013-14'!L32*100</f>
        <v>0</v>
      </c>
      <c r="M32" s="24"/>
      <c r="N32" s="24"/>
      <c r="O32" s="25">
        <f>(' Horticulture 2013-14(Final)'!P35-'3rd Horticulture 2013-14'!O32)/'3rd Horticulture 2013-14'!O32*100</f>
        <v>0.12240889953053356</v>
      </c>
      <c r="P32" s="25">
        <f>(' Horticulture 2013-14(Final)'!Q35-'3rd Horticulture 2013-14'!P32)/'3rd Horticulture 2013-14'!P32*100</f>
        <v>-4.065702623518038</v>
      </c>
    </row>
    <row r="33" spans="1:16" ht="15" x14ac:dyDescent="0.25">
      <c r="A33" s="23" t="s">
        <v>57</v>
      </c>
      <c r="B33" s="24">
        <f>(' Horticulture 2013-14(Final)'!B36-'3rd Horticulture 2013-14'!B33)/'3rd Horticulture 2013-14'!B33*100</f>
        <v>-1.5218383807625786E-3</v>
      </c>
      <c r="C33" s="24">
        <f>(' Horticulture 2013-14(Final)'!C36-'3rd Horticulture 2013-14'!C33)/'3rd Horticulture 2013-14'!C33*100</f>
        <v>0</v>
      </c>
      <c r="D33" s="24">
        <f>(' Horticulture 2013-14(Final)'!D36-'3rd Horticulture 2013-14'!D33)/'3rd Horticulture 2013-14'!D33*100</f>
        <v>0</v>
      </c>
      <c r="E33" s="24">
        <f>(' Horticulture 2013-14(Final)'!E36-'3rd Horticulture 2013-14'!E33)/'3rd Horticulture 2013-14'!E33*100</f>
        <v>-2.0958948377150997E-14</v>
      </c>
      <c r="F33" s="24">
        <f>(' Horticulture 2013-14(Final)'!F36-'3rd Horticulture 2013-14'!F33)/'3rd Horticulture 2013-14'!F33*100</f>
        <v>78.148268047911955</v>
      </c>
      <c r="G33" s="24">
        <f>(' Horticulture 2013-14(Final)'!G36-'3rd Horticulture 2013-14'!G33)/'3rd Horticulture 2013-14'!G33*100</f>
        <v>0</v>
      </c>
      <c r="H33" s="24">
        <f>(' Horticulture 2013-14(Final)'!H36-'3rd Horticulture 2013-14'!H33)/'3rd Horticulture 2013-14'!H33*100</f>
        <v>80.363013698630141</v>
      </c>
      <c r="I33" s="24">
        <f>(' Horticulture 2013-14(Final)'!I36-'3rd Horticulture 2013-14'!I33)/'3rd Horticulture 2013-14'!I33*100</f>
        <v>0</v>
      </c>
      <c r="J33" s="24">
        <f>(' Horticulture 2013-14(Final)'!J36-'3rd Horticulture 2013-14'!J33)/'3rd Horticulture 2013-14'!J33*100</f>
        <v>0</v>
      </c>
      <c r="K33" s="24">
        <f>(' Horticulture 2013-14(Final)'!K36-'3rd Horticulture 2013-14'!K33)/'3rd Horticulture 2013-14'!K33*100</f>
        <v>0</v>
      </c>
      <c r="L33" s="24">
        <f>(' Horticulture 2013-14(Final)'!L36-'3rd Horticulture 2013-14'!L33)/'3rd Horticulture 2013-14'!L33*100</f>
        <v>0</v>
      </c>
      <c r="M33" s="24">
        <f>(' Horticulture 2013-14(Final)'!M36-'3rd Horticulture 2013-14'!M33)/'3rd Horticulture 2013-14'!M33*100</f>
        <v>-4.7275586729384634E-3</v>
      </c>
      <c r="N33" s="24">
        <f>(' Horticulture 2013-14(Final)'!N36-'3rd Horticulture 2013-14'!N33)/'3rd Horticulture 2013-14'!N33*100</f>
        <v>0</v>
      </c>
      <c r="O33" s="25">
        <f>(' Horticulture 2013-14(Final)'!P36-'3rd Horticulture 2013-14'!O33)/'3rd Horticulture 2013-14'!O33*100</f>
        <v>1.644131055763361</v>
      </c>
      <c r="P33" s="25">
        <f>(' Horticulture 2013-14(Final)'!Q36-'3rd Horticulture 2013-14'!P33)/'3rd Horticulture 2013-14'!P33*100</f>
        <v>6.5480907537614999E-2</v>
      </c>
    </row>
    <row r="34" spans="1:16" ht="15" x14ac:dyDescent="0.25">
      <c r="A34" s="23" t="s">
        <v>241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  <c r="P34" s="25"/>
    </row>
    <row r="35" spans="1:16" ht="15" x14ac:dyDescent="0.25">
      <c r="A35" s="23" t="s">
        <v>37</v>
      </c>
      <c r="B35" s="24">
        <f>(' Horticulture 2013-14(Final)'!B38-'3rd Horticulture 2013-14'!B35)/'3rd Horticulture 2013-14'!B35*100</f>
        <v>12.894172032359219</v>
      </c>
      <c r="C35" s="24">
        <f>(' Horticulture 2013-14(Final)'!C38-'3rd Horticulture 2013-14'!C35)/'3rd Horticulture 2013-14'!C35*100</f>
        <v>23.101831130932236</v>
      </c>
      <c r="D35" s="24">
        <f>(' Horticulture 2013-14(Final)'!D38-'3rd Horticulture 2013-14'!D35)/'3rd Horticulture 2013-14'!D35*100</f>
        <v>2.4352786309784826</v>
      </c>
      <c r="E35" s="24">
        <f>(' Horticulture 2013-14(Final)'!E38-'3rd Horticulture 2013-14'!E35)/'3rd Horticulture 2013-14'!E35*100</f>
        <v>2.6783834982108892</v>
      </c>
      <c r="F35" s="24"/>
      <c r="G35" s="24"/>
      <c r="H35" s="24"/>
      <c r="I35" s="24"/>
      <c r="J35" s="24"/>
      <c r="K35" s="24">
        <f>(' Horticulture 2013-14(Final)'!K38-'3rd Horticulture 2013-14'!K35)/'3rd Horticulture 2013-14'!K35*100</f>
        <v>0</v>
      </c>
      <c r="L35" s="24">
        <f>(' Horticulture 2013-14(Final)'!L38-'3rd Horticulture 2013-14'!L35)/'3rd Horticulture 2013-14'!L35*100</f>
        <v>0</v>
      </c>
      <c r="M35" s="24">
        <f>(' Horticulture 2013-14(Final)'!M38-'3rd Horticulture 2013-14'!M35)/'3rd Horticulture 2013-14'!M35*100</f>
        <v>2.7958387516254857</v>
      </c>
      <c r="N35" s="24">
        <f>(' Horticulture 2013-14(Final)'!N38-'3rd Horticulture 2013-14'!N35)/'3rd Horticulture 2013-14'!N35*100</f>
        <v>-5.3497942386831081</v>
      </c>
      <c r="O35" s="25">
        <f>(' Horticulture 2013-14(Final)'!P38-'3rd Horticulture 2013-14'!O35)/'3rd Horticulture 2013-14'!O35*100</f>
        <v>7.3494733532463403</v>
      </c>
      <c r="P35" s="25">
        <f>(' Horticulture 2013-14(Final)'!Q38-'3rd Horticulture 2013-14'!P35)/'3rd Horticulture 2013-14'!P35*100</f>
        <v>11.447959238596878</v>
      </c>
    </row>
    <row r="36" spans="1:16" ht="15" x14ac:dyDescent="0.25">
      <c r="A36" s="23" t="s">
        <v>38</v>
      </c>
      <c r="B36" s="24">
        <f>(' Horticulture 2013-14(Final)'!B39-'3rd Horticulture 2013-14'!B36)/'3rd Horticulture 2013-14'!B36*100</f>
        <v>0</v>
      </c>
      <c r="C36" s="24">
        <f>(' Horticulture 2013-14(Final)'!C39-'3rd Horticulture 2013-14'!C36)/'3rd Horticulture 2013-14'!C36*100</f>
        <v>0</v>
      </c>
      <c r="D36" s="24">
        <f>(' Horticulture 2013-14(Final)'!D39-'3rd Horticulture 2013-14'!D36)/'3rd Horticulture 2013-14'!D36*100</f>
        <v>-4.2202472900408701</v>
      </c>
      <c r="E36" s="24">
        <f>(' Horticulture 2013-14(Final)'!E39-'3rd Horticulture 2013-14'!E36)/'3rd Horticulture 2013-14'!E36*100</f>
        <v>-4.558815734013657</v>
      </c>
      <c r="F36" s="24">
        <f>(' Horticulture 2013-14(Final)'!F39-'3rd Horticulture 2013-14'!F36)/'3rd Horticulture 2013-14'!F36*100</f>
        <v>0</v>
      </c>
      <c r="G36" s="24">
        <f>(' Horticulture 2013-14(Final)'!G39-'3rd Horticulture 2013-14'!G36)/'3rd Horticulture 2013-14'!G36*100</f>
        <v>0</v>
      </c>
      <c r="H36" s="24">
        <f>(' Horticulture 2013-14(Final)'!H39-'3rd Horticulture 2013-14'!H36)/'3rd Horticulture 2013-14'!H36*100</f>
        <v>0</v>
      </c>
      <c r="I36" s="24">
        <f>(' Horticulture 2013-14(Final)'!I39-'3rd Horticulture 2013-14'!I36)/'3rd Horticulture 2013-14'!I36*100</f>
        <v>0</v>
      </c>
      <c r="J36" s="24">
        <f>(' Horticulture 2013-14(Final)'!J39-'3rd Horticulture 2013-14'!J36)/'3rd Horticulture 2013-14'!J36*100</f>
        <v>0</v>
      </c>
      <c r="K36" s="24">
        <f>(' Horticulture 2013-14(Final)'!K39-'3rd Horticulture 2013-14'!K36)/'3rd Horticulture 2013-14'!K36*100</f>
        <v>1.9678203495775057</v>
      </c>
      <c r="L36" s="24">
        <f>(' Horticulture 2013-14(Final)'!L39-'3rd Horticulture 2013-14'!L36)/'3rd Horticulture 2013-14'!L36*100</f>
        <v>14.412978244561131</v>
      </c>
      <c r="M36" s="24"/>
      <c r="N36" s="24"/>
      <c r="O36" s="25">
        <f>(' Horticulture 2013-14(Final)'!P39-'3rd Horticulture 2013-14'!O36)/'3rd Horticulture 2013-14'!O36*100</f>
        <v>-2.4665055327574046</v>
      </c>
      <c r="P36" s="25">
        <f>(' Horticulture 2013-14(Final)'!Q39-'3rd Horticulture 2013-14'!P36)/'3rd Horticulture 2013-14'!P36*100</f>
        <v>-2.9668979832491136</v>
      </c>
    </row>
    <row r="37" spans="1:16" ht="15" x14ac:dyDescent="0.25">
      <c r="A37" s="23" t="s">
        <v>90</v>
      </c>
      <c r="B37" s="24">
        <f>(' Horticulture 2013-14(Final)'!B40-'3rd Horticulture 2013-14'!B37)/'3rd Horticulture 2013-14'!B37*100</f>
        <v>-14.552080895788411</v>
      </c>
      <c r="C37" s="24">
        <f>(' Horticulture 2013-14(Final)'!C40-'3rd Horticulture 2013-14'!C37)/'3rd Horticulture 2013-14'!C37*100</f>
        <v>-15.785162126334923</v>
      </c>
      <c r="D37" s="24">
        <f>(' Horticulture 2013-14(Final)'!D40-'3rd Horticulture 2013-14'!D37)/'3rd Horticulture 2013-14'!D37*100</f>
        <v>0.28512035259505508</v>
      </c>
      <c r="E37" s="24">
        <f>(' Horticulture 2013-14(Final)'!E40-'3rd Horticulture 2013-14'!E37)/'3rd Horticulture 2013-14'!E37*100</f>
        <v>-4.0338967374531629</v>
      </c>
      <c r="F37" s="24">
        <f>(' Horticulture 2013-14(Final)'!F40-'3rd Horticulture 2013-14'!F37)/'3rd Horticulture 2013-14'!F37*100</f>
        <v>-13.428571428571423</v>
      </c>
      <c r="G37" s="24">
        <f>(' Horticulture 2013-14(Final)'!G40-'3rd Horticulture 2013-14'!G37)/'3rd Horticulture 2013-14'!G37*100</f>
        <v>10.964912280701752</v>
      </c>
      <c r="H37" s="24">
        <f>(' Horticulture 2013-14(Final)'!H40-'3rd Horticulture 2013-14'!H37)/'3rd Horticulture 2013-14'!H37*100</f>
        <v>-58.146183791435661</v>
      </c>
      <c r="I37" s="24"/>
      <c r="J37" s="24"/>
      <c r="K37" s="24">
        <f>(' Horticulture 2013-14(Final)'!K40-'3rd Horticulture 2013-14'!K37)/'3rd Horticulture 2013-14'!K37*100</f>
        <v>0</v>
      </c>
      <c r="L37" s="24">
        <f>(' Horticulture 2013-14(Final)'!L40-'3rd Horticulture 2013-14'!L37)/'3rd Horticulture 2013-14'!L37*100</f>
        <v>0</v>
      </c>
      <c r="M37" s="24"/>
      <c r="N37" s="24"/>
      <c r="O37" s="25">
        <f>(' Horticulture 2013-14(Final)'!P40-'3rd Horticulture 2013-14'!O37)/'3rd Horticulture 2013-14'!O37*100</f>
        <v>-9.7767795531437223</v>
      </c>
      <c r="P37" s="25">
        <f>(' Horticulture 2013-14(Final)'!Q40-'3rd Horticulture 2013-14'!P37)/'3rd Horticulture 2013-14'!P37*100</f>
        <v>-8.3573665475755856</v>
      </c>
    </row>
    <row r="38" spans="1:16" ht="15" x14ac:dyDescent="0.25">
      <c r="A38" s="23" t="s">
        <v>40</v>
      </c>
      <c r="B38" s="24">
        <f>(' Horticulture 2013-14(Final)'!B41-'3rd Horticulture 2013-14'!B38)/'3rd Horticulture 2013-14'!B38*100</f>
        <v>0</v>
      </c>
      <c r="C38" s="24">
        <f>(' Horticulture 2013-14(Final)'!C41-'3rd Horticulture 2013-14'!C38)/'3rd Horticulture 2013-14'!C38*100</f>
        <v>0</v>
      </c>
      <c r="D38" s="24">
        <f>(' Horticulture 2013-14(Final)'!D41-'3rd Horticulture 2013-14'!D38)/'3rd Horticulture 2013-14'!D38*100</f>
        <v>-0.19890821011532311</v>
      </c>
      <c r="E38" s="24">
        <f>(' Horticulture 2013-14(Final)'!E41-'3rd Horticulture 2013-14'!E38)/'3rd Horticulture 2013-14'!E38*100</f>
        <v>-7.8752905762354093</v>
      </c>
      <c r="F38" s="24">
        <f>(' Horticulture 2013-14(Final)'!F41-'3rd Horticulture 2013-14'!F38)/'3rd Horticulture 2013-14'!F38*100</f>
        <v>0</v>
      </c>
      <c r="G38" s="24">
        <f>(' Horticulture 2013-14(Final)'!G41-'3rd Horticulture 2013-14'!G38)/'3rd Horticulture 2013-14'!G38*100</f>
        <v>0</v>
      </c>
      <c r="H38" s="24">
        <f>(' Horticulture 2013-14(Final)'!H41-'3rd Horticulture 2013-14'!H38)/'3rd Horticulture 2013-14'!H38*100</f>
        <v>0</v>
      </c>
      <c r="I38" s="24"/>
      <c r="J38" s="24"/>
      <c r="K38" s="24">
        <f>(' Horticulture 2013-14(Final)'!K41-'3rd Horticulture 2013-14'!K38)/'3rd Horticulture 2013-14'!K38*100</f>
        <v>0</v>
      </c>
      <c r="L38" s="24">
        <f>(' Horticulture 2013-14(Final)'!L41-'3rd Horticulture 2013-14'!L38)/'3rd Horticulture 2013-14'!L38*100</f>
        <v>0</v>
      </c>
      <c r="M38" s="24">
        <f>(' Horticulture 2013-14(Final)'!M41-'3rd Horticulture 2013-14'!M38)/'3rd Horticulture 2013-14'!M38*100</f>
        <v>0</v>
      </c>
      <c r="N38" s="24">
        <f>(' Horticulture 2013-14(Final)'!N41-'3rd Horticulture 2013-14'!N38)/'3rd Horticulture 2013-14'!N38*100</f>
        <v>0</v>
      </c>
      <c r="O38" s="25">
        <f>(' Horticulture 2013-14(Final)'!P41-'3rd Horticulture 2013-14'!O38)/'3rd Horticulture 2013-14'!O38*100</f>
        <v>-0.15448026459869255</v>
      </c>
      <c r="P38" s="25">
        <f>(' Horticulture 2013-14(Final)'!Q41-'3rd Horticulture 2013-14'!P38)/'3rd Horticulture 2013-14'!P38*100</f>
        <v>-6.3528051545233302</v>
      </c>
    </row>
    <row r="39" spans="1:16" ht="15" x14ac:dyDescent="0.25">
      <c r="A39" s="23" t="s">
        <v>75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5"/>
    </row>
    <row r="40" spans="1:16" s="117" customFormat="1" ht="15" x14ac:dyDescent="0.25">
      <c r="A40" s="23" t="s">
        <v>9</v>
      </c>
      <c r="B40" s="25">
        <f>(' Horticulture 2013-14(Final)'!B43-'3rd Horticulture 2013-14'!B40)/'3rd Horticulture 2013-14'!B40*100</f>
        <v>0.42189007924443195</v>
      </c>
      <c r="C40" s="25">
        <f>(' Horticulture 2013-14(Final)'!C43-'3rd Horticulture 2013-14'!C40)/'3rd Horticulture 2013-14'!C40*100</f>
        <v>2.4820220913447493</v>
      </c>
      <c r="D40" s="25">
        <f>(' Horticulture 2013-14(Final)'!D43-'3rd Horticulture 2013-14'!D40)/'3rd Horticulture 2013-14'!D40*100</f>
        <v>-1.7891388855969828</v>
      </c>
      <c r="E40" s="25">
        <f>(' Horticulture 2013-14(Final)'!E43-'3rd Horticulture 2013-14'!E40)/'3rd Horticulture 2013-14'!E40*100</f>
        <v>-3.1196515823941913</v>
      </c>
      <c r="F40" s="25">
        <f>(' Horticulture 2013-14(Final)'!F43-'3rd Horticulture 2013-14'!F40)/'3rd Horticulture 2013-14'!F40*100</f>
        <v>5.855894671940252</v>
      </c>
      <c r="G40" s="25">
        <f>(' Horticulture 2013-14(Final)'!G43-'3rd Horticulture 2013-14'!G40)/'3rd Horticulture 2013-14'!G40*100</f>
        <v>-3.7928282324678255</v>
      </c>
      <c r="H40" s="25">
        <f>(' Horticulture 2013-14(Final)'!H43-'3rd Horticulture 2013-14'!H40)/'3rd Horticulture 2013-14'!H40*100</f>
        <v>3.5114820864015094E-2</v>
      </c>
      <c r="I40" s="25">
        <f>(' Horticulture 2013-14(Final)'!I43-'3rd Horticulture 2013-14'!I40)/'3rd Horticulture 2013-14'!I40*100</f>
        <v>-10.90117250510745</v>
      </c>
      <c r="J40" s="25">
        <f>(' Horticulture 2013-14(Final)'!J43-'3rd Horticulture 2013-14'!J40)/'3rd Horticulture 2013-14'!J40*100</f>
        <v>-3.8856800403840124</v>
      </c>
      <c r="K40" s="25">
        <f>(' Horticulture 2013-14(Final)'!K43-'3rd Horticulture 2013-14'!K40)/'3rd Horticulture 2013-14'!K40*100</f>
        <v>-2.2452822958463359</v>
      </c>
      <c r="L40" s="25">
        <f>(' Horticulture 2013-14(Final)'!L43-'3rd Horticulture 2013-14'!L40)/'3rd Horticulture 2013-14'!L40*100</f>
        <v>-0.39801749860919383</v>
      </c>
      <c r="M40" s="25">
        <f>(' Horticulture 2013-14(Final)'!M43-'3rd Horticulture 2013-14'!M40)/'3rd Horticulture 2013-14'!M40*100</f>
        <v>7.4571560529870864E-3</v>
      </c>
      <c r="N40" s="25">
        <f>(' Horticulture 2013-14(Final)'!N43-'3rd Horticulture 2013-14'!N40)/'3rd Horticulture 2013-14'!N40*100</f>
        <v>-1.7890494626641675</v>
      </c>
      <c r="O40" s="25">
        <f>(' Horticulture 2013-14(Final)'!P43-'3rd Horticulture 2013-14'!O40)/'3rd Horticulture 2013-14'!O40*100</f>
        <v>-1.0609075168097548</v>
      </c>
      <c r="P40" s="25">
        <f>(' Horticulture 2013-14(Final)'!Q43-'3rd Horticulture 2013-14'!P40)/'3rd Horticulture 2013-14'!P40*100</f>
        <v>-1.0339877296641491</v>
      </c>
    </row>
  </sheetData>
  <mergeCells count="8">
    <mergeCell ref="O1:P1"/>
    <mergeCell ref="G2:H2"/>
    <mergeCell ref="B1:C1"/>
    <mergeCell ref="D1:E1"/>
    <mergeCell ref="F1:H1"/>
    <mergeCell ref="I1:J1"/>
    <mergeCell ref="K1:L1"/>
    <mergeCell ref="M1:N1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39"/>
  <sheetViews>
    <sheetView topLeftCell="AO1" workbookViewId="0">
      <selection activeCell="B15" sqref="B15"/>
    </sheetView>
  </sheetViews>
  <sheetFormatPr defaultRowHeight="12.75" x14ac:dyDescent="0.2"/>
  <cols>
    <col min="1" max="1" width="26.140625" style="104" customWidth="1"/>
    <col min="2" max="11" width="9.140625" style="104"/>
    <col min="12" max="12" width="10.28515625" style="104" customWidth="1"/>
    <col min="13" max="13" width="9.85546875" style="104" customWidth="1"/>
    <col min="14" max="24" width="9.140625" style="104"/>
    <col min="25" max="25" width="10.7109375" style="104" customWidth="1"/>
    <col min="26" max="53" width="9.140625" style="104"/>
    <col min="54" max="54" width="10.7109375" style="104" customWidth="1"/>
    <col min="55" max="55" width="10.85546875" style="104" customWidth="1"/>
    <col min="56" max="16384" width="9.140625" style="104"/>
  </cols>
  <sheetData>
    <row r="1" spans="1:55" ht="15.75" x14ac:dyDescent="0.25">
      <c r="A1" s="54" t="s">
        <v>202</v>
      </c>
      <c r="B1" s="300" t="s">
        <v>91</v>
      </c>
      <c r="C1" s="300"/>
      <c r="D1" s="301" t="s">
        <v>213</v>
      </c>
      <c r="E1" s="299"/>
      <c r="F1" s="298" t="s">
        <v>0</v>
      </c>
      <c r="G1" s="299"/>
      <c r="H1" s="298" t="s">
        <v>92</v>
      </c>
      <c r="I1" s="299"/>
      <c r="J1" s="298" t="s">
        <v>1</v>
      </c>
      <c r="K1" s="299"/>
      <c r="L1" s="298" t="s">
        <v>93</v>
      </c>
      <c r="M1" s="299"/>
      <c r="N1" s="302" t="s">
        <v>94</v>
      </c>
      <c r="O1" s="303"/>
      <c r="P1" s="300" t="s">
        <v>95</v>
      </c>
      <c r="Q1" s="300"/>
      <c r="R1" s="300" t="s">
        <v>2</v>
      </c>
      <c r="S1" s="300"/>
      <c r="T1" s="298" t="s">
        <v>96</v>
      </c>
      <c r="U1" s="299"/>
      <c r="V1" s="300" t="s">
        <v>97</v>
      </c>
      <c r="W1" s="300"/>
      <c r="X1" s="300" t="s">
        <v>3</v>
      </c>
      <c r="Y1" s="300"/>
      <c r="Z1" s="300" t="s">
        <v>4</v>
      </c>
      <c r="AA1" s="300"/>
      <c r="AB1" s="300" t="s">
        <v>5</v>
      </c>
      <c r="AC1" s="300"/>
      <c r="AD1" s="298" t="s">
        <v>98</v>
      </c>
      <c r="AE1" s="299"/>
      <c r="AF1" s="298" t="s">
        <v>99</v>
      </c>
      <c r="AG1" s="299"/>
      <c r="AH1" s="300" t="s">
        <v>100</v>
      </c>
      <c r="AI1" s="300"/>
      <c r="AJ1" s="300" t="s">
        <v>101</v>
      </c>
      <c r="AK1" s="300"/>
      <c r="AL1" s="300" t="s">
        <v>102</v>
      </c>
      <c r="AM1" s="300"/>
      <c r="AN1" s="300" t="s">
        <v>6</v>
      </c>
      <c r="AO1" s="300"/>
      <c r="AP1" s="300" t="s">
        <v>103</v>
      </c>
      <c r="AQ1" s="300"/>
      <c r="AR1" s="300" t="s">
        <v>104</v>
      </c>
      <c r="AS1" s="300"/>
      <c r="AT1" s="300" t="s">
        <v>7</v>
      </c>
      <c r="AU1" s="300"/>
      <c r="AV1" s="298" t="s">
        <v>105</v>
      </c>
      <c r="AW1" s="299"/>
      <c r="AX1" s="300" t="s">
        <v>106</v>
      </c>
      <c r="AY1" s="300"/>
      <c r="AZ1" s="300" t="s">
        <v>107</v>
      </c>
      <c r="BA1" s="300"/>
      <c r="BB1" s="300" t="s">
        <v>108</v>
      </c>
      <c r="BC1" s="300"/>
    </row>
    <row r="2" spans="1:55" ht="15.75" x14ac:dyDescent="0.25">
      <c r="A2" s="4"/>
      <c r="B2" s="54" t="s">
        <v>48</v>
      </c>
      <c r="C2" s="54" t="s">
        <v>10</v>
      </c>
      <c r="D2" s="54" t="s">
        <v>48</v>
      </c>
      <c r="E2" s="54" t="s">
        <v>10</v>
      </c>
      <c r="F2" s="54" t="s">
        <v>48</v>
      </c>
      <c r="G2" s="54" t="s">
        <v>10</v>
      </c>
      <c r="H2" s="54" t="s">
        <v>48</v>
      </c>
      <c r="I2" s="54" t="s">
        <v>10</v>
      </c>
      <c r="J2" s="54" t="s">
        <v>48</v>
      </c>
      <c r="K2" s="54" t="s">
        <v>10</v>
      </c>
      <c r="L2" s="54" t="s">
        <v>48</v>
      </c>
      <c r="M2" s="54" t="s">
        <v>10</v>
      </c>
      <c r="N2" s="54" t="s">
        <v>48</v>
      </c>
      <c r="O2" s="54" t="s">
        <v>10</v>
      </c>
      <c r="P2" s="54" t="s">
        <v>48</v>
      </c>
      <c r="Q2" s="54" t="s">
        <v>10</v>
      </c>
      <c r="R2" s="54" t="s">
        <v>48</v>
      </c>
      <c r="S2" s="54" t="s">
        <v>10</v>
      </c>
      <c r="T2" s="54" t="s">
        <v>48</v>
      </c>
      <c r="U2" s="54" t="s">
        <v>10</v>
      </c>
      <c r="V2" s="54" t="s">
        <v>48</v>
      </c>
      <c r="W2" s="54" t="s">
        <v>10</v>
      </c>
      <c r="X2" s="54" t="s">
        <v>48</v>
      </c>
      <c r="Y2" s="54" t="s">
        <v>10</v>
      </c>
      <c r="Z2" s="54" t="s">
        <v>48</v>
      </c>
      <c r="AA2" s="54" t="s">
        <v>10</v>
      </c>
      <c r="AB2" s="54" t="s">
        <v>48</v>
      </c>
      <c r="AC2" s="54" t="s">
        <v>10</v>
      </c>
      <c r="AD2" s="54" t="s">
        <v>48</v>
      </c>
      <c r="AE2" s="54" t="s">
        <v>10</v>
      </c>
      <c r="AF2" s="54" t="s">
        <v>48</v>
      </c>
      <c r="AG2" s="54" t="s">
        <v>10</v>
      </c>
      <c r="AH2" s="54" t="s">
        <v>48</v>
      </c>
      <c r="AI2" s="54" t="s">
        <v>10</v>
      </c>
      <c r="AJ2" s="54" t="s">
        <v>48</v>
      </c>
      <c r="AK2" s="54" t="s">
        <v>10</v>
      </c>
      <c r="AL2" s="54" t="s">
        <v>48</v>
      </c>
      <c r="AM2" s="54" t="s">
        <v>10</v>
      </c>
      <c r="AN2" s="54" t="s">
        <v>48</v>
      </c>
      <c r="AO2" s="54" t="s">
        <v>10</v>
      </c>
      <c r="AP2" s="54" t="s">
        <v>48</v>
      </c>
      <c r="AQ2" s="54" t="s">
        <v>10</v>
      </c>
      <c r="AR2" s="54" t="s">
        <v>48</v>
      </c>
      <c r="AS2" s="54" t="s">
        <v>10</v>
      </c>
      <c r="AT2" s="54" t="s">
        <v>48</v>
      </c>
      <c r="AU2" s="54" t="s">
        <v>10</v>
      </c>
      <c r="AV2" s="54" t="s">
        <v>48</v>
      </c>
      <c r="AW2" s="54" t="s">
        <v>10</v>
      </c>
      <c r="AX2" s="54" t="s">
        <v>48</v>
      </c>
      <c r="AY2" s="54" t="s">
        <v>10</v>
      </c>
      <c r="AZ2" s="54" t="s">
        <v>48</v>
      </c>
      <c r="BA2" s="54" t="s">
        <v>10</v>
      </c>
      <c r="BB2" s="54" t="s">
        <v>48</v>
      </c>
      <c r="BC2" s="54" t="s">
        <v>10</v>
      </c>
    </row>
    <row r="3" spans="1:55" ht="15.75" x14ac:dyDescent="0.25">
      <c r="A3" s="5" t="s">
        <v>11</v>
      </c>
      <c r="B3" s="6"/>
      <c r="C3" s="6"/>
      <c r="D3" s="6"/>
      <c r="E3" s="6"/>
      <c r="F3" s="6"/>
      <c r="G3" s="6"/>
      <c r="H3" s="6"/>
      <c r="I3" s="6"/>
      <c r="J3" s="6">
        <f>(' Fruits 2013-14(Final)'!J3-'3rd Fruits 2013-14'!J3)/'3rd Fruits 2013-14'!J3*100</f>
        <v>0</v>
      </c>
      <c r="K3" s="6">
        <f>(' Fruits 2013-14(Final)'!K3-'3rd Fruits 2013-14'!K3)/'3rd Fruits 2013-14'!K3*100</f>
        <v>0</v>
      </c>
      <c r="L3" s="6"/>
      <c r="M3" s="6"/>
      <c r="N3" s="6">
        <f>(' Fruits 2013-14(Final)'!N3-'3rd Fruits 2013-14'!N3)/'3rd Fruits 2013-14'!N3*100</f>
        <v>0</v>
      </c>
      <c r="O3" s="6">
        <f>(' Fruits 2013-14(Final)'!O3-'3rd Fruits 2013-14'!O3)/'3rd Fruits 2013-14'!O3*100</f>
        <v>0</v>
      </c>
      <c r="P3" s="6"/>
      <c r="Q3" s="6"/>
      <c r="R3" s="6">
        <f>(' Fruits 2013-14(Final)'!R3-'3rd Fruits 2013-14'!R3)/'3rd Fruits 2013-14'!R3*100</f>
        <v>0</v>
      </c>
      <c r="S3" s="6">
        <f>(' Fruits 2013-14(Final)'!S3-'3rd Fruits 2013-14'!S3)/'3rd Fruits 2013-14'!S3*100</f>
        <v>0</v>
      </c>
      <c r="T3" s="6"/>
      <c r="U3" s="6"/>
      <c r="V3" s="6"/>
      <c r="W3" s="6"/>
      <c r="X3" s="6"/>
      <c r="Y3" s="6"/>
      <c r="Z3" s="6">
        <f>(' Fruits 2013-14(Final)'!Z3-'3rd Fruits 2013-14'!Z3)/'3rd Fruits 2013-14'!Z3*100</f>
        <v>0</v>
      </c>
      <c r="AA3" s="6">
        <f>(' Fruits 2013-14(Final)'!AA3-'3rd Fruits 2013-14'!AA3)/'3rd Fruits 2013-14'!AA3*100</f>
        <v>0</v>
      </c>
      <c r="AB3" s="6">
        <f>(' Fruits 2013-14(Final)'!AB3-'3rd Fruits 2013-14'!AB3)/'3rd Fruits 2013-14'!AB3*100</f>
        <v>0</v>
      </c>
      <c r="AC3" s="6">
        <f>(' Fruits 2013-14(Final)'!AC3-'3rd Fruits 2013-14'!AC3)/'3rd Fruits 2013-14'!AC3*100</f>
        <v>0</v>
      </c>
      <c r="AD3" s="6"/>
      <c r="AE3" s="6"/>
      <c r="AF3" s="6">
        <f>(' Fruits 2013-14(Final)'!AF3-'3rd Fruits 2013-14'!AF3)/'3rd Fruits 2013-14'!AF3*100</f>
        <v>0</v>
      </c>
      <c r="AG3" s="6">
        <f>(' Fruits 2013-14(Final)'!AG3-'3rd Fruits 2013-14'!AG3)/'3rd Fruits 2013-14'!AG3*100</f>
        <v>0</v>
      </c>
      <c r="AH3" s="6"/>
      <c r="AI3" s="6"/>
      <c r="AJ3" s="6"/>
      <c r="AK3" s="6"/>
      <c r="AL3" s="6"/>
      <c r="AM3" s="6"/>
      <c r="AN3" s="6">
        <f>(' Fruits 2013-14(Final)'!AN3-'3rd Fruits 2013-14'!AN3)/'3rd Fruits 2013-14'!AN3*100</f>
        <v>0</v>
      </c>
      <c r="AO3" s="6">
        <f>(' Fruits 2013-14(Final)'!AO3-'3rd Fruits 2013-14'!AO3)/'3rd Fruits 2013-14'!AO3*100</f>
        <v>0</v>
      </c>
      <c r="AP3" s="6"/>
      <c r="AQ3" s="6"/>
      <c r="AR3" s="6">
        <f>(' Fruits 2013-14(Final)'!AR3-'3rd Fruits 2013-14'!AR3)/'3rd Fruits 2013-14'!AR3*100</f>
        <v>0</v>
      </c>
      <c r="AS3" s="6"/>
      <c r="AT3" s="6">
        <f>(' Fruits 2013-14(Final)'!AT3-'3rd Fruits 2013-14'!AT3)/'3rd Fruits 2013-14'!AT3*100</f>
        <v>0</v>
      </c>
      <c r="AU3" s="6">
        <f>(' Fruits 2013-14(Final)'!AU3-'3rd Fruits 2013-14'!AU3)/'3rd Fruits 2013-14'!AU3*100</f>
        <v>0</v>
      </c>
      <c r="AV3" s="6"/>
      <c r="AW3" s="6"/>
      <c r="AX3" s="6"/>
      <c r="AY3" s="6"/>
      <c r="AZ3" s="6">
        <f>(' Fruits 2013-14(Final)'!AZ3-'3rd Fruits 2013-14'!AZ3)/'3rd Fruits 2013-14'!AZ3*100</f>
        <v>0</v>
      </c>
      <c r="BA3" s="6">
        <f>(' Fruits 2013-14(Final)'!BA3-'3rd Fruits 2013-14'!BA3)/'3rd Fruits 2013-14'!BA3*100</f>
        <v>0</v>
      </c>
      <c r="BB3" s="2">
        <f>B3+D3+F3+H3+J3+L3+N3+P3+R3+T3+V3+X3+Z3+AB3+AD3+AF3+AH3+AJ3+AL3+AN3+AP3+AR3+AT3+AV3+AX3+AZ3</f>
        <v>0</v>
      </c>
      <c r="BC3" s="2">
        <f>C3+E3+G3+I3+K3+M3+O3+Q3+S3+U3+W3+Y3+AA3+AC3+AE3+AG3+AI3+AK3+AM3+AO3+AQ3+AS3+AU3+AW3+AY3+BA3</f>
        <v>0</v>
      </c>
    </row>
    <row r="4" spans="1:55" ht="15.75" x14ac:dyDescent="0.25">
      <c r="A4" s="5" t="s">
        <v>12</v>
      </c>
      <c r="B4" s="6"/>
      <c r="C4" s="6"/>
      <c r="D4" s="6">
        <f>(' Fruits 2013-14(Final)'!D4-'3rd Fruits 2013-14'!D4)/'3rd Fruits 2013-14'!D4*100</f>
        <v>-18.587166889980647</v>
      </c>
      <c r="E4" s="6">
        <f>(' Fruits 2013-14(Final)'!E4-'3rd Fruits 2013-14'!E4)/'3rd Fruits 2013-14'!E4*100</f>
        <v>-18.583253930443075</v>
      </c>
      <c r="F4" s="6"/>
      <c r="G4" s="6"/>
      <c r="H4" s="6"/>
      <c r="I4" s="6"/>
      <c r="J4" s="6">
        <f>(' Fruits 2013-14(Final)'!J4-'3rd Fruits 2013-14'!J4)/'3rd Fruits 2013-14'!J4*100</f>
        <v>-5.6564624431747061</v>
      </c>
      <c r="K4" s="6">
        <f>(' Fruits 2013-14(Final)'!K4-'3rd Fruits 2013-14'!K4)/'3rd Fruits 2013-14'!K4*100</f>
        <v>-5.6567288720950222</v>
      </c>
      <c r="L4" s="6">
        <f>(' Fruits 2013-14(Final)'!L4-'3rd Fruits 2013-14'!L4)/'3rd Fruits 2013-14'!L4*100</f>
        <v>2651.2755102040819</v>
      </c>
      <c r="M4" s="6">
        <f>(' Fruits 2013-14(Final)'!M4-'3rd Fruits 2013-14'!M4)/'3rd Fruits 2013-14'!M4*100</f>
        <v>7606.4014282070912</v>
      </c>
      <c r="N4" s="6">
        <f>(' Fruits 2013-14(Final)'!N4-'3rd Fruits 2013-14'!N4)/'3rd Fruits 2013-14'!N4*100</f>
        <v>-55.592621664050235</v>
      </c>
      <c r="O4" s="6">
        <f>(' Fruits 2013-14(Final)'!O4-'3rd Fruits 2013-14'!O4)/'3rd Fruits 2013-14'!O4*100</f>
        <v>-55.584627964022893</v>
      </c>
      <c r="P4" s="6">
        <f>(' Fruits 2013-14(Final)'!P4-'3rd Fruits 2013-14'!P4)/'3rd Fruits 2013-14'!P4*100</f>
        <v>-73.942366646229303</v>
      </c>
      <c r="Q4" s="6">
        <f>(' Fruits 2013-14(Final)'!Q4-'3rd Fruits 2013-14'!Q4)/'3rd Fruits 2013-14'!Q4*100</f>
        <v>-73.942366646229303</v>
      </c>
      <c r="R4" s="6">
        <f>(' Fruits 2013-14(Final)'!R4-'3rd Fruits 2013-14'!R4)/'3rd Fruits 2013-14'!R4*100</f>
        <v>-45.503102662791612</v>
      </c>
      <c r="S4" s="6">
        <f>(' Fruits 2013-14(Final)'!S4-'3rd Fruits 2013-14'!S4)/'3rd Fruits 2013-14'!S4*100</f>
        <v>-45.499722463684641</v>
      </c>
      <c r="T4" s="6"/>
      <c r="U4" s="6"/>
      <c r="V4" s="6"/>
      <c r="W4" s="6"/>
      <c r="X4" s="6"/>
      <c r="Y4" s="6"/>
      <c r="Z4" s="6">
        <f>(' Fruits 2013-14(Final)'!Z4-'3rd Fruits 2013-14'!Z4)/'3rd Fruits 2013-14'!Z4*100</f>
        <v>-40.002170181703399</v>
      </c>
      <c r="AA4" s="6">
        <f>(' Fruits 2013-14(Final)'!AA4-'3rd Fruits 2013-14'!AA4)/'3rd Fruits 2013-14'!AA4*100</f>
        <v>-40.001920283675886</v>
      </c>
      <c r="AB4" s="6">
        <f>(' Fruits 2013-14(Final)'!AB4-'3rd Fruits 2013-14'!AB4)/'3rd Fruits 2013-14'!AB4*100</f>
        <v>-9.6608187134502987</v>
      </c>
      <c r="AC4" s="6">
        <f>(' Fruits 2013-14(Final)'!AC4-'3rd Fruits 2013-14'!AC4)/'3rd Fruits 2013-14'!AC4*100</f>
        <v>-9.664027714263316</v>
      </c>
      <c r="AD4" s="6"/>
      <c r="AE4" s="6"/>
      <c r="AF4" s="6">
        <f>(' Fruits 2013-14(Final)'!AF4-'3rd Fruits 2013-14'!AF4)/'3rd Fruits 2013-14'!AF4*100</f>
        <v>-47.606937650364692</v>
      </c>
      <c r="AG4" s="6">
        <f>(' Fruits 2013-14(Final)'!AG4-'3rd Fruits 2013-14'!AG4)/'3rd Fruits 2013-14'!AG4*100</f>
        <v>-48.605603586630664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>
        <f>(' Fruits 2013-14(Final)'!AR4-'3rd Fruits 2013-14'!AR4)/'3rd Fruits 2013-14'!AR4*100</f>
        <v>-6.5119177441969045</v>
      </c>
      <c r="AS4" s="6">
        <f>(' Fruits 2013-14(Final)'!AS4-'3rd Fruits 2013-14'!AS4)/'3rd Fruits 2013-14'!AS4*100</f>
        <v>40.218712029161594</v>
      </c>
      <c r="AT4" s="6">
        <f>(' Fruits 2013-14(Final)'!AT4-'3rd Fruits 2013-14'!AT4)/'3rd Fruits 2013-14'!AT4*100</f>
        <v>81.429618768328439</v>
      </c>
      <c r="AU4" s="6">
        <f>(' Fruits 2013-14(Final)'!AU4-'3rd Fruits 2013-14'!AU4)/'3rd Fruits 2013-14'!AU4*100</f>
        <v>81.214991641983644</v>
      </c>
      <c r="AV4" s="6"/>
      <c r="AW4" s="6"/>
      <c r="AX4" s="6"/>
      <c r="AY4" s="6"/>
      <c r="AZ4" s="6">
        <f>(' Fruits 2013-14(Final)'!AZ4-'3rd Fruits 2013-14'!AZ4)/'3rd Fruits 2013-14'!AZ4*100</f>
        <v>-29.209157433802567</v>
      </c>
      <c r="BA4" s="6">
        <f>(' Fruits 2013-14(Final)'!BA4-'3rd Fruits 2013-14'!BA4)/'3rd Fruits 2013-14'!BA4*100</f>
        <v>-29.208655504909352</v>
      </c>
      <c r="BB4" s="2">
        <f t="shared" ref="BB4:BC37" si="0">B4+D4+F4+H4+J4+L4+N4+P4+R4+T4+V4+X4+Z4+AB4+AD4+AF4+AH4+AJ4+AL4+AN4+AP4+AR4+AT4+AV4+AX4+AZ4</f>
        <v>2400.4324069426661</v>
      </c>
      <c r="BC4" s="2">
        <f t="shared" si="0"/>
        <v>7401.0882249122842</v>
      </c>
    </row>
    <row r="5" spans="1:55" ht="15.75" x14ac:dyDescent="0.25">
      <c r="A5" s="7" t="s">
        <v>13</v>
      </c>
      <c r="B5" s="6"/>
      <c r="C5" s="6"/>
      <c r="D5" s="6"/>
      <c r="E5" s="6"/>
      <c r="F5" s="6">
        <f>(' Fruits 2013-14(Final)'!F5-'3rd Fruits 2013-14'!F5)/'3rd Fruits 2013-14'!F5*100</f>
        <v>2.8019052956006998E-2</v>
      </c>
      <c r="G5" s="6">
        <f>(' Fruits 2013-14(Final)'!G5-'3rd Fruits 2013-14'!G5)/'3rd Fruits 2013-14'!G5*100</f>
        <v>0</v>
      </c>
      <c r="H5" s="6"/>
      <c r="I5" s="6"/>
      <c r="J5" s="6">
        <f>(' Fruits 2013-14(Final)'!J5-'3rd Fruits 2013-14'!J5)/'3rd Fruits 2013-14'!J5*100</f>
        <v>0</v>
      </c>
      <c r="K5" s="6">
        <f>(' Fruits 2013-14(Final)'!K5-'3rd Fruits 2013-14'!K5)/'3rd Fruits 2013-14'!K5*100</f>
        <v>0</v>
      </c>
      <c r="L5" s="6"/>
      <c r="M5" s="6"/>
      <c r="N5" s="6"/>
      <c r="O5" s="6"/>
      <c r="P5" s="6"/>
      <c r="Q5" s="6"/>
      <c r="R5" s="6"/>
      <c r="S5" s="6"/>
      <c r="T5" s="6"/>
      <c r="U5" s="6"/>
      <c r="V5" s="6">
        <f>(' Fruits 2013-14(Final)'!V5-'3rd Fruits 2013-14'!V5)/'3rd Fruits 2013-14'!V5*100</f>
        <v>0</v>
      </c>
      <c r="W5" s="6">
        <f>(' Fruits 2013-14(Final)'!W5-'3rd Fruits 2013-14'!W5)/'3rd Fruits 2013-14'!W5*100</f>
        <v>-18.159806295399523</v>
      </c>
      <c r="X5" s="6"/>
      <c r="Y5" s="6"/>
      <c r="Z5" s="6"/>
      <c r="AA5" s="6"/>
      <c r="AB5" s="6"/>
      <c r="AC5" s="6"/>
      <c r="AD5" s="6"/>
      <c r="AE5" s="6"/>
      <c r="AF5" s="6">
        <f>(' Fruits 2013-14(Final)'!AF5-'3rd Fruits 2013-14'!AF5)/'3rd Fruits 2013-14'!AF5*100</f>
        <v>1.0031096398848652E-2</v>
      </c>
      <c r="AG5" s="6">
        <f>(' Fruits 2013-14(Final)'!AG5-'3rd Fruits 2013-14'!AG5)/'3rd Fruits 2013-14'!AG5*100</f>
        <v>0</v>
      </c>
      <c r="AH5" s="6"/>
      <c r="AI5" s="6"/>
      <c r="AJ5" s="6"/>
      <c r="AK5" s="6"/>
      <c r="AL5" s="6"/>
      <c r="AM5" s="6"/>
      <c r="AN5" s="6">
        <f>(' Fruits 2013-14(Final)'!AN5-'3rd Fruits 2013-14'!AN5)/'3rd Fruits 2013-14'!AN5*100</f>
        <v>0</v>
      </c>
      <c r="AO5" s="6">
        <f>(' Fruits 2013-14(Final)'!AO5-'3rd Fruits 2013-14'!AO5)/'3rd Fruits 2013-14'!AO5*100</f>
        <v>0</v>
      </c>
      <c r="AP5" s="6"/>
      <c r="AQ5" s="6"/>
      <c r="AR5" s="6"/>
      <c r="AS5" s="6"/>
      <c r="AT5" s="6"/>
      <c r="AU5" s="6"/>
      <c r="AV5" s="6"/>
      <c r="AW5" s="6"/>
      <c r="AX5" s="6">
        <f>(' Fruits 2013-14(Final)'!AX5-'3rd Fruits 2013-14'!AX5)/'3rd Fruits 2013-14'!AX5*100</f>
        <v>0</v>
      </c>
      <c r="AY5" s="6">
        <f>(' Fruits 2013-14(Final)'!AY5-'3rd Fruits 2013-14'!AY5)/'3rd Fruits 2013-14'!AY5*100</f>
        <v>0</v>
      </c>
      <c r="AZ5" s="6">
        <f>(' Fruits 2013-14(Final)'!AZ5-'3rd Fruits 2013-14'!AZ5)/'3rd Fruits 2013-14'!AZ5*100</f>
        <v>0</v>
      </c>
      <c r="BA5" s="6">
        <f>(' Fruits 2013-14(Final)'!BA5-'3rd Fruits 2013-14'!BA5)/'3rd Fruits 2013-14'!BA5*100</f>
        <v>0</v>
      </c>
      <c r="BB5" s="2">
        <f t="shared" si="0"/>
        <v>3.805014935485565E-2</v>
      </c>
      <c r="BC5" s="2">
        <f t="shared" si="0"/>
        <v>-18.159806295399523</v>
      </c>
    </row>
    <row r="6" spans="1:55" ht="15.75" x14ac:dyDescent="0.25">
      <c r="A6" s="5" t="s">
        <v>14</v>
      </c>
      <c r="B6" s="6"/>
      <c r="C6" s="6"/>
      <c r="D6" s="6">
        <f>(' Fruits 2013-14(Final)'!D6-'3rd Fruits 2013-14'!D6)/'3rd Fruits 2013-14'!D6*100</f>
        <v>0</v>
      </c>
      <c r="E6" s="6">
        <f>(' Fruits 2013-14(Final)'!E6-'3rd Fruits 2013-14'!E6)/'3rd Fruits 2013-14'!E6*100</f>
        <v>0</v>
      </c>
      <c r="F6" s="6"/>
      <c r="G6" s="6"/>
      <c r="H6" s="6"/>
      <c r="I6" s="6"/>
      <c r="J6" s="6">
        <f>(' Fruits 2013-14(Final)'!J6-'3rd Fruits 2013-14'!J6)/'3rd Fruits 2013-14'!J6*100</f>
        <v>-2.3412271259418795</v>
      </c>
      <c r="K6" s="6">
        <f>(' Fruits 2013-14(Final)'!K6-'3rd Fruits 2013-14'!K6)/'3rd Fruits 2013-14'!K6*100</f>
        <v>-3.9218936926199515</v>
      </c>
      <c r="L6" s="6"/>
      <c r="M6" s="6"/>
      <c r="N6" s="6"/>
      <c r="O6" s="6"/>
      <c r="P6" s="6"/>
      <c r="Q6" s="6"/>
      <c r="R6" s="6">
        <f>(' Fruits 2013-14(Final)'!R6-'3rd Fruits 2013-14'!R6)/'3rd Fruits 2013-14'!R6*100</f>
        <v>-21.30500188040617</v>
      </c>
      <c r="S6" s="6">
        <f>(' Fruits 2013-14(Final)'!S6-'3rd Fruits 2013-14'!S6)/'3rd Fruits 2013-14'!S6*100</f>
        <v>-22.185181402000197</v>
      </c>
      <c r="T6" s="6">
        <f>(' Fruits 2013-14(Final)'!T6-'3rd Fruits 2013-14'!T6)/'3rd Fruits 2013-14'!T6*100</f>
        <v>-8.0907101985863417</v>
      </c>
      <c r="U6" s="6">
        <f>(' Fruits 2013-14(Final)'!U6-'3rd Fruits 2013-14'!U6)/'3rd Fruits 2013-14'!U6*100</f>
        <v>-16.838876889848812</v>
      </c>
      <c r="V6" s="6"/>
      <c r="W6" s="6"/>
      <c r="X6" s="6">
        <f>(' Fruits 2013-14(Final)'!X6-'3rd Fruits 2013-14'!X6)/'3rd Fruits 2013-14'!X6*100</f>
        <v>-5.3307529908515114</v>
      </c>
      <c r="Y6" s="6">
        <f>(' Fruits 2013-14(Final)'!Y6-'3rd Fruits 2013-14'!Y6)/'3rd Fruits 2013-14'!Y6*100</f>
        <v>-8.6037448911700345</v>
      </c>
      <c r="Z6" s="6">
        <f>(' Fruits 2013-14(Final)'!Z6-'3rd Fruits 2013-14'!Z6)/'3rd Fruits 2013-14'!Z6*100</f>
        <v>-17.609254498714648</v>
      </c>
      <c r="AA6" s="6">
        <f>(' Fruits 2013-14(Final)'!AA6-'3rd Fruits 2013-14'!AA6)/'3rd Fruits 2013-14'!AA6*100</f>
        <v>-20.847385423692707</v>
      </c>
      <c r="AB6" s="6">
        <f>(' Fruits 2013-14(Final)'!AB6-'3rd Fruits 2013-14'!AB6)/'3rd Fruits 2013-14'!AB6*100</f>
        <v>-15.070821529745034</v>
      </c>
      <c r="AC6" s="6">
        <f>(' Fruits 2013-14(Final)'!AC6-'3rd Fruits 2013-14'!AC6)/'3rd Fruits 2013-14'!AC6*100</f>
        <v>-15.477600521379392</v>
      </c>
      <c r="AD6" s="6"/>
      <c r="AE6" s="6"/>
      <c r="AF6" s="6">
        <f>(' Fruits 2013-14(Final)'!AF6-'3rd Fruits 2013-14'!AF6)/'3rd Fruits 2013-14'!AF6*100</f>
        <v>-7.4647977882080498</v>
      </c>
      <c r="AG6" s="6">
        <f>(' Fruits 2013-14(Final)'!AG6-'3rd Fruits 2013-14'!AG6)/'3rd Fruits 2013-14'!AG6*100</f>
        <v>-15.504426100922561</v>
      </c>
      <c r="AH6" s="6"/>
      <c r="AI6" s="6"/>
      <c r="AJ6" s="6"/>
      <c r="AK6" s="6"/>
      <c r="AL6" s="6"/>
      <c r="AM6" s="6"/>
      <c r="AN6" s="6">
        <f>(' Fruits 2013-14(Final)'!AN6-'3rd Fruits 2013-14'!AN6)/'3rd Fruits 2013-14'!AN6*100</f>
        <v>0.84771604561811853</v>
      </c>
      <c r="AO6" s="6">
        <f>(' Fruits 2013-14(Final)'!AO6-'3rd Fruits 2013-14'!AO6)/'3rd Fruits 2013-14'!AO6*100</f>
        <v>1.0072869052702265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>
        <f>(' Fruits 2013-14(Final)'!AZ6-'3rd Fruits 2013-14'!AZ6)/'3rd Fruits 2013-14'!AZ6*100</f>
        <v>-5.2280311457174715</v>
      </c>
      <c r="BA6" s="6">
        <f>(' Fruits 2013-14(Final)'!BA6-'3rd Fruits 2013-14'!BA6)/'3rd Fruits 2013-14'!BA6*100</f>
        <v>-23.060957977706256</v>
      </c>
      <c r="BB6" s="2">
        <f t="shared" si="0"/>
        <v>-81.592881112552988</v>
      </c>
      <c r="BC6" s="2">
        <f t="shared" si="0"/>
        <v>-125.43277999406969</v>
      </c>
    </row>
    <row r="7" spans="1:55" ht="15.75" x14ac:dyDescent="0.25">
      <c r="A7" s="5" t="s">
        <v>15</v>
      </c>
      <c r="B7" s="6"/>
      <c r="C7" s="6"/>
      <c r="D7" s="6">
        <f>(' Fruits 2013-14(Final)'!D7-'3rd Fruits 2013-14'!D7)/'3rd Fruits 2013-14'!D7*100</f>
        <v>-12.357217030114226</v>
      </c>
      <c r="E7" s="6">
        <f>(' Fruits 2013-14(Final)'!E7-'3rd Fruits 2013-14'!E7)/'3rd Fruits 2013-14'!E7*100</f>
        <v>-16.832564088305627</v>
      </c>
      <c r="F7" s="6"/>
      <c r="G7" s="6"/>
      <c r="H7" s="6"/>
      <c r="I7" s="6"/>
      <c r="J7" s="6">
        <f>(' Fruits 2013-14(Final)'!J7-'3rd Fruits 2013-14'!J7)/'3rd Fruits 2013-14'!J7*100</f>
        <v>0.15177164205241842</v>
      </c>
      <c r="K7" s="6">
        <f>(' Fruits 2013-14(Final)'!K7-'3rd Fruits 2013-14'!K7)/'3rd Fruits 2013-14'!K7*100</f>
        <v>-19.872814788978026</v>
      </c>
      <c r="L7" s="6">
        <f>(' Fruits 2013-14(Final)'!L7-'3rd Fruits 2013-14'!L7)/'3rd Fruits 2013-14'!L7*100</f>
        <v>-0.20408163265306142</v>
      </c>
      <c r="M7" s="6">
        <f>(' Fruits 2013-14(Final)'!M7-'3rd Fruits 2013-14'!M7)/'3rd Fruits 2013-14'!M7*100</f>
        <v>-1.2299664554603027</v>
      </c>
      <c r="N7" s="6">
        <f>(' Fruits 2013-14(Final)'!N7-'3rd Fruits 2013-14'!N7)/'3rd Fruits 2013-14'!N7*100</f>
        <v>0</v>
      </c>
      <c r="O7" s="6">
        <f>(' Fruits 2013-14(Final)'!O7-'3rd Fruits 2013-14'!O7)/'3rd Fruits 2013-14'!O7*100</f>
        <v>0</v>
      </c>
      <c r="P7" s="6"/>
      <c r="Q7" s="6"/>
      <c r="R7" s="6">
        <f>(' Fruits 2013-14(Final)'!R7-'3rd Fruits 2013-14'!R7)/'3rd Fruits 2013-14'!R7*100</f>
        <v>-0.51472785840003032</v>
      </c>
      <c r="S7" s="6">
        <f>(' Fruits 2013-14(Final)'!S7-'3rd Fruits 2013-14'!S7)/'3rd Fruits 2013-14'!S7*100</f>
        <v>43.676326979415776</v>
      </c>
      <c r="T7" s="6">
        <f>(' Fruits 2013-14(Final)'!T7-'3rd Fruits 2013-14'!T7)/'3rd Fruits 2013-14'!T7*100</f>
        <v>3.4482758620689684</v>
      </c>
      <c r="U7" s="6">
        <f>(' Fruits 2013-14(Final)'!U7-'3rd Fruits 2013-14'!U7)/'3rd Fruits 2013-14'!U7*100</f>
        <v>12.704889201547667</v>
      </c>
      <c r="V7" s="6"/>
      <c r="W7" s="6"/>
      <c r="X7" s="6">
        <f>(' Fruits 2013-14(Final)'!X7-'3rd Fruits 2013-14'!X7)/'3rd Fruits 2013-14'!X7*100</f>
        <v>-1.1957067537032395</v>
      </c>
      <c r="Y7" s="6">
        <f>(' Fruits 2013-14(Final)'!Y7-'3rd Fruits 2013-14'!Y7)/'3rd Fruits 2013-14'!Y7*100</f>
        <v>-9.0919677202734235</v>
      </c>
      <c r="Z7" s="6">
        <f>(' Fruits 2013-14(Final)'!Z7-'3rd Fruits 2013-14'!Z7)/'3rd Fruits 2013-14'!Z7*100</f>
        <v>3.3567635428632767E-2</v>
      </c>
      <c r="AA7" s="6">
        <f>(' Fruits 2013-14(Final)'!AA7-'3rd Fruits 2013-14'!AA7)/'3rd Fruits 2013-14'!AA7*100</f>
        <v>-7.8927552981840687</v>
      </c>
      <c r="AB7" s="6">
        <f>(' Fruits 2013-14(Final)'!AB7-'3rd Fruits 2013-14'!AB7)/'3rd Fruits 2013-14'!AB7*100</f>
        <v>-3.6821705426356619</v>
      </c>
      <c r="AC7" s="6">
        <f>(' Fruits 2013-14(Final)'!AC7-'3rd Fruits 2013-14'!AC7)/'3rd Fruits 2013-14'!AC7*100</f>
        <v>-20.279650536562016</v>
      </c>
      <c r="AD7" s="6"/>
      <c r="AE7" s="6"/>
      <c r="AF7" s="6">
        <f>(' Fruits 2013-14(Final)'!AF7-'3rd Fruits 2013-14'!AF7)/'3rd Fruits 2013-14'!AF7*100</f>
        <v>-1.1562603237528759</v>
      </c>
      <c r="AG7" s="6">
        <f>(' Fruits 2013-14(Final)'!AG7-'3rd Fruits 2013-14'!AG7)/'3rd Fruits 2013-14'!AG7*100</f>
        <v>-5.5039146116177529</v>
      </c>
      <c r="AH7" s="6"/>
      <c r="AI7" s="6"/>
      <c r="AJ7" s="6"/>
      <c r="AK7" s="6"/>
      <c r="AL7" s="6"/>
      <c r="AM7" s="6"/>
      <c r="AN7" s="6">
        <f>(' Fruits 2013-14(Final)'!AN7-'3rd Fruits 2013-14'!AN7)/'3rd Fruits 2013-14'!AN7*100</f>
        <v>-21.539041870992072</v>
      </c>
      <c r="AO7" s="6">
        <f>(' Fruits 2013-14(Final)'!AO7-'3rd Fruits 2013-14'!AO7)/'3rd Fruits 2013-14'!AO7*100</f>
        <v>-21.350502295715813</v>
      </c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>
        <f>(' Fruits 2013-14(Final)'!BA7-'3rd Fruits 2013-14'!BA7)/'3rd Fruits 2013-14'!BA7*100</f>
        <v>-12.458704329137236</v>
      </c>
      <c r="BB7" s="2">
        <f t="shared" si="0"/>
        <v>-37.015590872701154</v>
      </c>
      <c r="BC7" s="2">
        <f t="shared" si="0"/>
        <v>-58.131623943270817</v>
      </c>
    </row>
    <row r="8" spans="1:55" ht="15.75" x14ac:dyDescent="0.25">
      <c r="A8" s="5" t="s">
        <v>197</v>
      </c>
      <c r="B8" s="6"/>
      <c r="C8" s="6"/>
      <c r="D8" s="6">
        <f>(' Fruits 2013-14(Final)'!D8-'3rd Fruits 2013-14'!D8)/'3rd Fruits 2013-14'!D8*100</f>
        <v>0</v>
      </c>
      <c r="E8" s="6">
        <f>(' Fruits 2013-14(Final)'!E8-'3rd Fruits 2013-14'!E8)/'3rd Fruits 2013-14'!E8*100</f>
        <v>0</v>
      </c>
      <c r="F8" s="6"/>
      <c r="G8" s="6"/>
      <c r="H8" s="6"/>
      <c r="I8" s="6"/>
      <c r="J8" s="6">
        <f>(' Fruits 2013-14(Final)'!J8-'3rd Fruits 2013-14'!J8)/'3rd Fruits 2013-14'!J8*100</f>
        <v>0</v>
      </c>
      <c r="K8" s="6">
        <f>(' Fruits 2013-14(Final)'!K8-'3rd Fruits 2013-14'!K8)/'3rd Fruits 2013-14'!K8*100</f>
        <v>0</v>
      </c>
      <c r="L8" s="6">
        <f>(' Fruits 2013-14(Final)'!L8-'3rd Fruits 2013-14'!L8)/'3rd Fruits 2013-14'!L8*100</f>
        <v>0</v>
      </c>
      <c r="M8" s="6">
        <f>(' Fruits 2013-14(Final)'!M8-'3rd Fruits 2013-14'!M8)/'3rd Fruits 2013-14'!M8*100</f>
        <v>0</v>
      </c>
      <c r="N8" s="6">
        <f>(' Fruits 2013-14(Final)'!N8-'3rd Fruits 2013-14'!N8)/'3rd Fruits 2013-14'!N8*100</f>
        <v>0</v>
      </c>
      <c r="O8" s="6">
        <f>(' Fruits 2013-14(Final)'!O8-'3rd Fruits 2013-14'!O8)/'3rd Fruits 2013-14'!O8*100</f>
        <v>0</v>
      </c>
      <c r="P8" s="6"/>
      <c r="Q8" s="6"/>
      <c r="R8" s="6">
        <f>(' Fruits 2013-14(Final)'!R8-'3rd Fruits 2013-14'!R8)/'3rd Fruits 2013-14'!R8*100</f>
        <v>0</v>
      </c>
      <c r="S8" s="6">
        <f>(' Fruits 2013-14(Final)'!S8-'3rd Fruits 2013-14'!S8)/'3rd Fruits 2013-14'!S8*100</f>
        <v>0</v>
      </c>
      <c r="T8" s="6">
        <f>(' Fruits 2013-14(Final)'!T8-'3rd Fruits 2013-14'!T8)/'3rd Fruits 2013-14'!T8*100</f>
        <v>0</v>
      </c>
      <c r="U8" s="6">
        <f>(' Fruits 2013-14(Final)'!U8-'3rd Fruits 2013-14'!U8)/'3rd Fruits 2013-14'!U8*100</f>
        <v>0</v>
      </c>
      <c r="V8" s="6"/>
      <c r="W8" s="6"/>
      <c r="X8" s="6">
        <f>(' Fruits 2013-14(Final)'!X8-'3rd Fruits 2013-14'!X8)/'3rd Fruits 2013-14'!X8*100</f>
        <v>0</v>
      </c>
      <c r="Y8" s="6">
        <f>(' Fruits 2013-14(Final)'!Y8-'3rd Fruits 2013-14'!Y8)/'3rd Fruits 2013-14'!Y8*100</f>
        <v>0</v>
      </c>
      <c r="Z8" s="6">
        <f>(' Fruits 2013-14(Final)'!Z8-'3rd Fruits 2013-14'!Z8)/'3rd Fruits 2013-14'!Z8*100</f>
        <v>0</v>
      </c>
      <c r="AA8" s="6">
        <f>(' Fruits 2013-14(Final)'!AA8-'3rd Fruits 2013-14'!AA8)/'3rd Fruits 2013-14'!AA8*100</f>
        <v>0</v>
      </c>
      <c r="AB8" s="6">
        <f>(' Fruits 2013-14(Final)'!AB8-'3rd Fruits 2013-14'!AB8)/'3rd Fruits 2013-14'!AB8*100</f>
        <v>0</v>
      </c>
      <c r="AC8" s="6">
        <f>(' Fruits 2013-14(Final)'!AC8-'3rd Fruits 2013-14'!AC8)/'3rd Fruits 2013-14'!AC8*100</f>
        <v>0</v>
      </c>
      <c r="AD8" s="6"/>
      <c r="AE8" s="6"/>
      <c r="AF8" s="6">
        <f>(' Fruits 2013-14(Final)'!AF8-'3rd Fruits 2013-14'!AF8)/'3rd Fruits 2013-14'!AF8*100</f>
        <v>0</v>
      </c>
      <c r="AG8" s="6">
        <f>(' Fruits 2013-14(Final)'!AG8-'3rd Fruits 2013-14'!AG8)/'3rd Fruits 2013-14'!AG8*100</f>
        <v>0</v>
      </c>
      <c r="AH8" s="6"/>
      <c r="AI8" s="6"/>
      <c r="AJ8" s="6">
        <f>(' Fruits 2013-14(Final)'!AJ8-'3rd Fruits 2013-14'!AJ8)/'3rd Fruits 2013-14'!AJ8*100</f>
        <v>0</v>
      </c>
      <c r="AK8" s="6">
        <f>(' Fruits 2013-14(Final)'!AK8-'3rd Fruits 2013-14'!AK8)/'3rd Fruits 2013-14'!AK8*100</f>
        <v>0</v>
      </c>
      <c r="AL8" s="6"/>
      <c r="AM8" s="6"/>
      <c r="AN8" s="6"/>
      <c r="AO8" s="6"/>
      <c r="AP8" s="6"/>
      <c r="AQ8" s="6"/>
      <c r="AR8" s="6">
        <f>(' Fruits 2013-14(Final)'!AR8-'3rd Fruits 2013-14'!AR8)/'3rd Fruits 2013-14'!AR8*100</f>
        <v>0</v>
      </c>
      <c r="AS8" s="6">
        <f>(' Fruits 2013-14(Final)'!AS8-'3rd Fruits 2013-14'!AS8)/'3rd Fruits 2013-14'!AS8*100</f>
        <v>0</v>
      </c>
      <c r="AT8" s="6">
        <f>(' Fruits 2013-14(Final)'!AT8-'3rd Fruits 2013-14'!AT8)/'3rd Fruits 2013-14'!AT8*100</f>
        <v>0</v>
      </c>
      <c r="AU8" s="6">
        <f>(' Fruits 2013-14(Final)'!AU8-'3rd Fruits 2013-14'!AU8)/'3rd Fruits 2013-14'!AU8*100</f>
        <v>0</v>
      </c>
      <c r="AV8" s="6"/>
      <c r="AW8" s="6"/>
      <c r="AX8" s="6"/>
      <c r="AY8" s="6"/>
      <c r="AZ8" s="6">
        <f>(' Fruits 2013-14(Final)'!AZ8-'3rd Fruits 2013-14'!AZ8)/'3rd Fruits 2013-14'!AZ8*100</f>
        <v>1.7946877243356085E-2</v>
      </c>
      <c r="BA8" s="6">
        <f>(' Fruits 2013-14(Final)'!BA8-'3rd Fruits 2013-14'!BA8)/'3rd Fruits 2013-14'!BA8*100</f>
        <v>0</v>
      </c>
      <c r="BB8" s="2">
        <f t="shared" si="0"/>
        <v>1.7946877243356085E-2</v>
      </c>
      <c r="BC8" s="2">
        <f t="shared" si="0"/>
        <v>0</v>
      </c>
    </row>
    <row r="9" spans="1:55" ht="15.75" x14ac:dyDescent="0.25">
      <c r="A9" s="5" t="s">
        <v>16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2">
        <f t="shared" si="0"/>
        <v>0</v>
      </c>
      <c r="BC9" s="2">
        <f t="shared" si="0"/>
        <v>0</v>
      </c>
    </row>
    <row r="10" spans="1:55" ht="15.75" x14ac:dyDescent="0.25">
      <c r="A10" s="5" t="s">
        <v>17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2">
        <f t="shared" si="0"/>
        <v>0</v>
      </c>
      <c r="BC10" s="2">
        <f t="shared" si="0"/>
        <v>0</v>
      </c>
    </row>
    <row r="11" spans="1:55" ht="15.75" x14ac:dyDescent="0.25">
      <c r="A11" s="5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2">
        <f t="shared" si="0"/>
        <v>0</v>
      </c>
      <c r="BC11" s="2">
        <f t="shared" si="0"/>
        <v>0</v>
      </c>
    </row>
    <row r="12" spans="1:55" ht="15.75" x14ac:dyDescent="0.25">
      <c r="A12" s="5" t="s">
        <v>19</v>
      </c>
      <c r="B12" s="6"/>
      <c r="C12" s="6"/>
      <c r="D12" s="6"/>
      <c r="E12" s="6"/>
      <c r="F12" s="6"/>
      <c r="G12" s="6"/>
      <c r="H12" s="6"/>
      <c r="I12" s="6"/>
      <c r="J12" s="6">
        <f>(' Fruits 2013-14(Final)'!J12-'3rd Fruits 2013-14'!J12)/'3rd Fruits 2013-14'!J12*100</f>
        <v>0</v>
      </c>
      <c r="K12" s="6">
        <f>(' Fruits 2013-14(Final)'!K12-'3rd Fruits 2013-14'!K12)/'3rd Fruits 2013-14'!K12*100</f>
        <v>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f>(' Fruits 2013-14(Final)'!Z12-'3rd Fruits 2013-14'!Z12)/'3rd Fruits 2013-14'!Z12*100</f>
        <v>0</v>
      </c>
      <c r="AA12" s="6">
        <f>(' Fruits 2013-14(Final)'!AA12-'3rd Fruits 2013-14'!AA12)/'3rd Fruits 2013-14'!AA12*100</f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>
        <f>(' Fruits 2013-14(Final)'!AN12-'3rd Fruits 2013-14'!AN12)/'3rd Fruits 2013-14'!AN12*100</f>
        <v>0</v>
      </c>
      <c r="AO12" s="6">
        <f>(' Fruits 2013-14(Final)'!AO12-'3rd Fruits 2013-14'!AO12)/'3rd Fruits 2013-14'!AO12*100</f>
        <v>0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>
        <f>(' Fruits 2013-14(Final)'!AZ12-'3rd Fruits 2013-14'!AZ12)/'3rd Fruits 2013-14'!AZ12*100</f>
        <v>0</v>
      </c>
      <c r="BA12" s="6">
        <f>(' Fruits 2013-14(Final)'!BA12-'3rd Fruits 2013-14'!BA12)/'3rd Fruits 2013-14'!BA12*100</f>
        <v>0</v>
      </c>
      <c r="BB12" s="2">
        <f t="shared" si="0"/>
        <v>0</v>
      </c>
      <c r="BC12" s="2">
        <f t="shared" si="0"/>
        <v>0</v>
      </c>
    </row>
    <row r="13" spans="1:55" ht="15.75" x14ac:dyDescent="0.25">
      <c r="A13" s="5" t="s">
        <v>20</v>
      </c>
      <c r="B13" s="6"/>
      <c r="C13" s="6"/>
      <c r="D13" s="6">
        <f>(' Fruits 2013-14(Final)'!D13-'3rd Fruits 2013-14'!D13)/'3rd Fruits 2013-14'!D13*100</f>
        <v>-3.2312925170067945</v>
      </c>
      <c r="E13" s="6">
        <f>(' Fruits 2013-14(Final)'!E13-'3rd Fruits 2013-14'!E13)/'3rd Fruits 2013-14'!E13*100</f>
        <v>-3.8618246235606724</v>
      </c>
      <c r="F13" s="6"/>
      <c r="G13" s="6"/>
      <c r="H13" s="6"/>
      <c r="I13" s="6"/>
      <c r="J13" s="6">
        <f>(' Fruits 2013-14(Final)'!J13-'3rd Fruits 2013-14'!J13)/'3rd Fruits 2013-14'!J13*100</f>
        <v>-5.7806744120147329</v>
      </c>
      <c r="K13" s="6">
        <f>(' Fruits 2013-14(Final)'!K13-'3rd Fruits 2013-14'!K13)/'3rd Fruits 2013-14'!K13*100</f>
        <v>-6.5878337301508356</v>
      </c>
      <c r="L13" s="6">
        <f>(' Fruits 2013-14(Final)'!L13-'3rd Fruits 2013-14'!L13)/'3rd Fruits 2013-14'!L13*100</f>
        <v>1.2335526315789502</v>
      </c>
      <c r="M13" s="6">
        <f>(' Fruits 2013-14(Final)'!M13-'3rd Fruits 2013-14'!M13)/'3rd Fruits 2013-14'!M13*100</f>
        <v>-3.7705045479281623</v>
      </c>
      <c r="N13" s="6">
        <f>(' Fruits 2013-14(Final)'!N13-'3rd Fruits 2013-14'!N13)/'3rd Fruits 2013-14'!N13*100</f>
        <v>0.38986354775829357</v>
      </c>
      <c r="O13" s="6">
        <f>(' Fruits 2013-14(Final)'!O13-'3rd Fruits 2013-14'!O13)/'3rd Fruits 2013-14'!O13*100</f>
        <v>-7.1834992887624445</v>
      </c>
      <c r="P13" s="6"/>
      <c r="Q13" s="6"/>
      <c r="R13" s="6">
        <f>(' Fruits 2013-14(Final)'!R13-'3rd Fruits 2013-14'!R13)/'3rd Fruits 2013-14'!R13*100</f>
        <v>1.8850141376060423</v>
      </c>
      <c r="S13" s="6">
        <f>(' Fruits 2013-14(Final)'!S13-'3rd Fruits 2013-14'!S13)/'3rd Fruits 2013-14'!S13*100</f>
        <v>-10.901613413476758</v>
      </c>
      <c r="T13" s="6"/>
      <c r="U13" s="6"/>
      <c r="V13" s="6"/>
      <c r="W13" s="6"/>
      <c r="X13" s="6"/>
      <c r="Y13" s="6"/>
      <c r="Z13" s="6">
        <f>(' Fruits 2013-14(Final)'!Z13-'3rd Fruits 2013-14'!Z13)/'3rd Fruits 2013-14'!Z13*100</f>
        <v>1.012317712020393</v>
      </c>
      <c r="AA13" s="6">
        <f>(' Fruits 2013-14(Final)'!AA13-'3rd Fruits 2013-14'!AA13)/'3rd Fruits 2013-14'!AA13*100</f>
        <v>12.144942264199805</v>
      </c>
      <c r="AB13" s="6">
        <f>(' Fruits 2013-14(Final)'!AB13-'3rd Fruits 2013-14'!AB13)/'3rd Fruits 2013-14'!AB13*100</f>
        <v>0.25588536335721962</v>
      </c>
      <c r="AC13" s="6">
        <f>(' Fruits 2013-14(Final)'!AC13-'3rd Fruits 2013-14'!AC13)/'3rd Fruits 2013-14'!AC13*100</f>
        <v>-0.32287628961329834</v>
      </c>
      <c r="AD13" s="6"/>
      <c r="AE13" s="6"/>
      <c r="AF13" s="6">
        <f>(' Fruits 2013-14(Final)'!AF13-'3rd Fruits 2013-14'!AF13)/'3rd Fruits 2013-14'!AF13*100</f>
        <v>0.68627450980392446</v>
      </c>
      <c r="AG13" s="6">
        <f>(' Fruits 2013-14(Final)'!AG13-'3rd Fruits 2013-14'!AG13)/'3rd Fruits 2013-14'!AG13*100</f>
        <v>3.7218322866642048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>
        <f>(' Fruits 2013-14(Final)'!AR13-'3rd Fruits 2013-14'!AR13)/'3rd Fruits 2013-14'!AR13*100</f>
        <v>26.756756756756761</v>
      </c>
      <c r="AS13" s="6">
        <f>(' Fruits 2013-14(Final)'!AS13-'3rd Fruits 2013-14'!AS13)/'3rd Fruits 2013-14'!AS13*100</f>
        <v>25.702353834472291</v>
      </c>
      <c r="AT13" s="6">
        <f>(' Fruits 2013-14(Final)'!AT13-'3rd Fruits 2013-14'!AT13)/'3rd Fruits 2013-14'!AT13*100</f>
        <v>-0.65972222222222665</v>
      </c>
      <c r="AU13" s="6">
        <f>(' Fruits 2013-14(Final)'!AU13-'3rd Fruits 2013-14'!AU13)/'3rd Fruits 2013-14'!AU13*100</f>
        <v>-4.1561794127137768</v>
      </c>
      <c r="AV13" s="6"/>
      <c r="AW13" s="6"/>
      <c r="AX13" s="6"/>
      <c r="AY13" s="6"/>
      <c r="AZ13" s="6">
        <f>(' Fruits 2013-14(Final)'!AZ13-'3rd Fruits 2013-14'!AZ13)/'3rd Fruits 2013-14'!AZ13*100</f>
        <v>-30.484160191273158</v>
      </c>
      <c r="BA13" s="6">
        <f>(' Fruits 2013-14(Final)'!BA13-'3rd Fruits 2013-14'!BA13)/'3rd Fruits 2013-14'!BA13*100</f>
        <v>-53.567335243553003</v>
      </c>
      <c r="BB13" s="2">
        <f t="shared" si="0"/>
        <v>-7.9361846836353251</v>
      </c>
      <c r="BC13" s="2">
        <f t="shared" si="0"/>
        <v>-48.782538164422654</v>
      </c>
    </row>
    <row r="14" spans="1:55" ht="15.75" x14ac:dyDescent="0.25">
      <c r="A14" s="5" t="s">
        <v>21</v>
      </c>
      <c r="B14" s="6"/>
      <c r="C14" s="6"/>
      <c r="D14" s="6">
        <f>(' Fruits 2013-14(Final)'!D14-'3rd Fruits 2013-14'!D14)/'3rd Fruits 2013-14'!D14*100</f>
        <v>0</v>
      </c>
      <c r="E14" s="6">
        <f>(' Fruits 2013-14(Final)'!E14-'3rd Fruits 2013-14'!E14)/'3rd Fruits 2013-14'!E14*100</f>
        <v>27.487684729064032</v>
      </c>
      <c r="F14" s="6"/>
      <c r="G14" s="6"/>
      <c r="H14" s="6"/>
      <c r="I14" s="6"/>
      <c r="J14" s="6"/>
      <c r="K14" s="6"/>
      <c r="L14" s="6">
        <f>(' Fruits 2013-14(Final)'!L14-'3rd Fruits 2013-14'!L14)/'3rd Fruits 2013-14'!L14*100</f>
        <v>0.47393364928911047</v>
      </c>
      <c r="M14" s="6">
        <f>(' Fruits 2013-14(Final)'!M14-'3rd Fruits 2013-14'!M14)/'3rd Fruits 2013-14'!M14*100</f>
        <v>1.4579349904397692</v>
      </c>
      <c r="N14" s="6"/>
      <c r="O14" s="6"/>
      <c r="P14" s="6">
        <f>(' Fruits 2013-14(Final)'!P14-'3rd Fruits 2013-14'!P14)/'3rd Fruits 2013-14'!P14*100</f>
        <v>0</v>
      </c>
      <c r="Q14" s="6">
        <f>(' Fruits 2013-14(Final)'!Q14-'3rd Fruits 2013-14'!Q14)/'3rd Fruits 2013-14'!Q14*100</f>
        <v>22.222222222222229</v>
      </c>
      <c r="R14" s="6">
        <f>(' Fruits 2013-14(Final)'!R14-'3rd Fruits 2013-14'!R14)/'3rd Fruits 2013-14'!R14*100</f>
        <v>0.28195488721803907</v>
      </c>
      <c r="S14" s="6">
        <f>(' Fruits 2013-14(Final)'!S14-'3rd Fruits 2013-14'!S14)/'3rd Fruits 2013-14'!S14*100</f>
        <v>-2.3048675677787243</v>
      </c>
      <c r="T14" s="6"/>
      <c r="U14" s="6"/>
      <c r="V14" s="6"/>
      <c r="W14" s="6"/>
      <c r="X14" s="6">
        <f>(' Fruits 2013-14(Final)'!X14-'3rd Fruits 2013-14'!X14)/'3rd Fruits 2013-14'!X14*100</f>
        <v>0</v>
      </c>
      <c r="Y14" s="6">
        <f>(' Fruits 2013-14(Final)'!Y14-'3rd Fruits 2013-14'!Y14)/'3rd Fruits 2013-14'!Y14*100</f>
        <v>-37.070938215102977</v>
      </c>
      <c r="Z14" s="6">
        <f>(' Fruits 2013-14(Final)'!Z14-'3rd Fruits 2013-14'!Z14)/'3rd Fruits 2013-14'!Z14*100</f>
        <v>0.10928961748633645</v>
      </c>
      <c r="AA14" s="6">
        <f>(' Fruits 2013-14(Final)'!AA14-'3rd Fruits 2013-14'!AA14)/'3rd Fruits 2013-14'!AA14*100</f>
        <v>-1.1544677903492399E-2</v>
      </c>
      <c r="AB14" s="6"/>
      <c r="AC14" s="6"/>
      <c r="AD14" s="6"/>
      <c r="AE14" s="6"/>
      <c r="AF14" s="6">
        <f>(' Fruits 2013-14(Final)'!AF14-'3rd Fruits 2013-14'!AF14)/'3rd Fruits 2013-14'!AF14*100</f>
        <v>-0.10309278350515245</v>
      </c>
      <c r="AG14" s="6">
        <f>(' Fruits 2013-14(Final)'!AG14-'3rd Fruits 2013-14'!AG14)/'3rd Fruits 2013-14'!AG14*100</f>
        <v>1.6982110448535161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>
        <f>(' Fruits 2013-14(Final)'!AT14-'3rd Fruits 2013-14'!AT14)/'3rd Fruits 2013-14'!AT14*100</f>
        <v>0</v>
      </c>
      <c r="AU14" s="6">
        <f>(' Fruits 2013-14(Final)'!AU14-'3rd Fruits 2013-14'!AU14)/'3rd Fruits 2013-14'!AU14*100</f>
        <v>35.764944275582586</v>
      </c>
      <c r="AV14" s="6"/>
      <c r="AW14" s="6"/>
      <c r="AX14" s="6"/>
      <c r="AY14" s="6"/>
      <c r="AZ14" s="6">
        <f>(' Fruits 2013-14(Final)'!AZ14-'3rd Fruits 2013-14'!AZ14)/'3rd Fruits 2013-14'!AZ14*100</f>
        <v>0.57971014492753681</v>
      </c>
      <c r="BA14" s="6">
        <f>(' Fruits 2013-14(Final)'!BA14-'3rd Fruits 2013-14'!BA14)/'3rd Fruits 2013-14'!BA14*100</f>
        <v>-9.934607645875241</v>
      </c>
      <c r="BB14" s="2">
        <f t="shared" si="0"/>
        <v>1.3417955154158703</v>
      </c>
      <c r="BC14" s="2">
        <f t="shared" si="0"/>
        <v>39.309039155501701</v>
      </c>
    </row>
    <row r="15" spans="1:55" ht="15.75" x14ac:dyDescent="0.25">
      <c r="A15" s="5" t="s">
        <v>22</v>
      </c>
      <c r="B15" s="6">
        <f>(' Fruits 2013-14(Final)'!B15-'3rd Fruits 2013-14'!B15)/'3rd Fruits 2013-14'!B15*100</f>
        <v>-0.96980786825251486</v>
      </c>
      <c r="C15" s="6">
        <f>(' Fruits 2013-14(Final)'!C15-'3rd Fruits 2013-14'!C15)/'3rd Fruits 2013-14'!C15*100</f>
        <v>0</v>
      </c>
      <c r="D15" s="6">
        <f>(' Fruits 2013-14(Final)'!D15-'3rd Fruits 2013-14'!D15)/'3rd Fruits 2013-14'!D15*100</f>
        <v>4.180213655364601</v>
      </c>
      <c r="E15" s="6">
        <f>(' Fruits 2013-14(Final)'!E15-'3rd Fruits 2013-14'!E15)/'3rd Fruits 2013-14'!E15*100</f>
        <v>0</v>
      </c>
      <c r="F15" s="6">
        <f>(' Fruits 2013-14(Final)'!F15-'3rd Fruits 2013-14'!F15)/'3rd Fruits 2013-14'!F15*100</f>
        <v>1.3696566915495594</v>
      </c>
      <c r="G15" s="6">
        <f>(' Fruits 2013-14(Final)'!G15-'3rd Fruits 2013-14'!G15)/'3rd Fruits 2013-14'!G15*100</f>
        <v>0</v>
      </c>
      <c r="H15" s="6"/>
      <c r="I15" s="6">
        <f>(' Fruits 2013-14(Final)'!I15-'3rd Fruits 2013-14'!I15)/'3rd Fruits 2013-14'!I15*100</f>
        <v>0</v>
      </c>
      <c r="J15" s="6">
        <f>(' Fruits 2013-14(Final)'!J15-'3rd Fruits 2013-14'!J15)/'3rd Fruits 2013-14'!J15*100</f>
        <v>-4.3010752688172085</v>
      </c>
      <c r="K15" s="6">
        <f>(' Fruits 2013-14(Final)'!K15-'3rd Fruits 2013-14'!K15)/'3rd Fruits 2013-14'!K15*100</f>
        <v>0</v>
      </c>
      <c r="L15" s="6">
        <f>(' Fruits 2013-14(Final)'!L15-'3rd Fruits 2013-14'!L15)/'3rd Fruits 2013-14'!L15*100</f>
        <v>-11.111111111111102</v>
      </c>
      <c r="M15" s="6">
        <f>(' Fruits 2013-14(Final)'!M15-'3rd Fruits 2013-14'!M15)/'3rd Fruits 2013-14'!M15*100</f>
        <v>0</v>
      </c>
      <c r="N15" s="6"/>
      <c r="O15" s="6"/>
      <c r="P15" s="6">
        <f>(' Fruits 2013-14(Final)'!P15-'3rd Fruits 2013-14'!P15)/'3rd Fruits 2013-14'!P15*100</f>
        <v>-12.149532710280372</v>
      </c>
      <c r="Q15" s="6">
        <f>(' Fruits 2013-14(Final)'!Q15-'3rd Fruits 2013-14'!Q15)/'3rd Fruits 2013-14'!Q15*100</f>
        <v>0</v>
      </c>
      <c r="R15" s="6">
        <f>(' Fruits 2013-14(Final)'!R15-'3rd Fruits 2013-14'!R15)/'3rd Fruits 2013-14'!R15*100</f>
        <v>-1.2145748987854112</v>
      </c>
      <c r="S15" s="6">
        <f>(' Fruits 2013-14(Final)'!S15-'3rd Fruits 2013-14'!S15)/'3rd Fruits 2013-14'!S15*100</f>
        <v>0</v>
      </c>
      <c r="T15" s="6">
        <f>(' Fruits 2013-14(Final)'!T15-'3rd Fruits 2013-14'!T15)/'3rd Fruits 2013-14'!T15*100</f>
        <v>10.381679389312968</v>
      </c>
      <c r="U15" s="6">
        <f>(' Fruits 2013-14(Final)'!U15-'3rd Fruits 2013-14'!U15)/'3rd Fruits 2013-14'!U15*100</f>
        <v>0</v>
      </c>
      <c r="V15" s="6">
        <f>(' Fruits 2013-14(Final)'!V15-'3rd Fruits 2013-14'!V15)/'3rd Fruits 2013-14'!V15*100</f>
        <v>-1.7391304347826102</v>
      </c>
      <c r="W15" s="6">
        <f>(' Fruits 2013-14(Final)'!W15-'3rd Fruits 2013-14'!W15)/'3rd Fruits 2013-14'!W15*100</f>
        <v>0</v>
      </c>
      <c r="X15" s="6">
        <f>(' Fruits 2013-14(Final)'!X15-'3rd Fruits 2013-14'!X15)/'3rd Fruits 2013-14'!X15*100</f>
        <v>4.8281678262702945</v>
      </c>
      <c r="Y15" s="6">
        <f>(' Fruits 2013-14(Final)'!Y15-'3rd Fruits 2013-14'!Y15)/'3rd Fruits 2013-14'!Y15*100</f>
        <v>0</v>
      </c>
      <c r="Z15" s="6">
        <f>(' Fruits 2013-14(Final)'!Z15-'3rd Fruits 2013-14'!Z15)/'3rd Fruits 2013-14'!Z15*100</f>
        <v>1.2207374660906367</v>
      </c>
      <c r="AA15" s="6">
        <f>(' Fruits 2013-14(Final)'!AA15-'3rd Fruits 2013-14'!AA15)/'3rd Fruits 2013-14'!AA15*100</f>
        <v>0</v>
      </c>
      <c r="AB15" s="6">
        <f>(' Fruits 2013-14(Final)'!AB15-'3rd Fruits 2013-14'!AB15)/'3rd Fruits 2013-14'!AB15*100</f>
        <v>-1.3953488372093035</v>
      </c>
      <c r="AC15" s="6">
        <f>(' Fruits 2013-14(Final)'!AC15-'3rd Fruits 2013-14'!AC15)/'3rd Fruits 2013-14'!AC15*100</f>
        <v>0</v>
      </c>
      <c r="AD15" s="6"/>
      <c r="AE15" s="6"/>
      <c r="AF15" s="6">
        <f>(' Fruits 2013-14(Final)'!AF15-'3rd Fruits 2013-14'!AF15)/'3rd Fruits 2013-14'!AF15*100</f>
        <v>1.341869847395198</v>
      </c>
      <c r="AG15" s="6">
        <f>(' Fruits 2013-14(Final)'!AG15-'3rd Fruits 2013-14'!AG15)/'3rd Fruits 2013-14'!AG15*100</f>
        <v>0</v>
      </c>
      <c r="AH15" s="6">
        <f>(' Fruits 2013-14(Final)'!AH15-'3rd Fruits 2013-14'!AH15)/'3rd Fruits 2013-14'!AH15*100</f>
        <v>-0.36886041545331255</v>
      </c>
      <c r="AI15" s="6">
        <f>(' Fruits 2013-14(Final)'!AI15-'3rd Fruits 2013-14'!AI15)/'3rd Fruits 2013-14'!AI15*100</f>
        <v>0</v>
      </c>
      <c r="AJ15" s="6">
        <f>(' Fruits 2013-14(Final)'!AJ15-'3rd Fruits 2013-14'!AJ15)/'3rd Fruits 2013-14'!AJ15*100</f>
        <v>-0.78328981723238122</v>
      </c>
      <c r="AK15" s="6">
        <f>(' Fruits 2013-14(Final)'!AK15-'3rd Fruits 2013-14'!AK15)/'3rd Fruits 2013-14'!AK15*100</f>
        <v>0</v>
      </c>
      <c r="AL15" s="6"/>
      <c r="AM15" s="6">
        <f>(' Fruits 2013-14(Final)'!AM15-'3rd Fruits 2013-14'!AM15)/'3rd Fruits 2013-14'!AM15*100</f>
        <v>0</v>
      </c>
      <c r="AN15" s="6"/>
      <c r="AO15" s="6"/>
      <c r="AP15" s="6">
        <f>(' Fruits 2013-14(Final)'!AP15-'3rd Fruits 2013-14'!AP15)/'3rd Fruits 2013-14'!AP15*100</f>
        <v>0.23430178069352828</v>
      </c>
      <c r="AQ15" s="6">
        <f>(' Fruits 2013-14(Final)'!AQ15-'3rd Fruits 2013-14'!AQ15)/'3rd Fruits 2013-14'!AQ15*100</f>
        <v>0</v>
      </c>
      <c r="AR15" s="6">
        <f>(' Fruits 2013-14(Final)'!AR15-'3rd Fruits 2013-14'!AR15)/'3rd Fruits 2013-14'!AR15*100</f>
        <v>11.189873417721524</v>
      </c>
      <c r="AS15" s="6">
        <f>(' Fruits 2013-14(Final)'!AS15-'3rd Fruits 2013-14'!AS15)/'3rd Fruits 2013-14'!AS15*100</f>
        <v>0</v>
      </c>
      <c r="AT15" s="6">
        <f>(' Fruits 2013-14(Final)'!AT15-'3rd Fruits 2013-14'!AT15)/'3rd Fruits 2013-14'!AT15*100</f>
        <v>-7.6923076923076854</v>
      </c>
      <c r="AU15" s="6">
        <f>(' Fruits 2013-14(Final)'!AU15-'3rd Fruits 2013-14'!AU15)/'3rd Fruits 2013-14'!AU15*100</f>
        <v>0</v>
      </c>
      <c r="AV15" s="6">
        <f>(' Fruits 2013-14(Final)'!AV15-'3rd Fruits 2013-14'!AV15)/'3rd Fruits 2013-14'!AV15*100</f>
        <v>-1.8181818181818199</v>
      </c>
      <c r="AW15" s="6">
        <f>(' Fruits 2013-14(Final)'!AW15-'3rd Fruits 2013-14'!AW15)/'3rd Fruits 2013-14'!AW15*100</f>
        <v>0</v>
      </c>
      <c r="AX15" s="6">
        <f>(' Fruits 2013-14(Final)'!AX15-'3rd Fruits 2013-14'!AX15)/'3rd Fruits 2013-14'!AX15*100</f>
        <v>-0.41684949539271887</v>
      </c>
      <c r="AY15" s="6">
        <f>(' Fruits 2013-14(Final)'!AY15-'3rd Fruits 2013-14'!AY15)/'3rd Fruits 2013-14'!AY15*100</f>
        <v>0</v>
      </c>
      <c r="AZ15" s="6">
        <f>(' Fruits 2013-14(Final)'!AZ15-'3rd Fruits 2013-14'!AZ15)/'3rd Fruits 2013-14'!AZ15*100</f>
        <v>-14.946311049532394</v>
      </c>
      <c r="BA15" s="6">
        <f>(' Fruits 2013-14(Final)'!BA15-'3rd Fruits 2013-14'!BA15)/'3rd Fruits 2013-14'!BA15*100</f>
        <v>0</v>
      </c>
      <c r="BB15" s="2">
        <f t="shared" si="0"/>
        <v>-24.159881342940523</v>
      </c>
      <c r="BC15" s="2">
        <f t="shared" si="0"/>
        <v>0</v>
      </c>
    </row>
    <row r="16" spans="1:55" ht="15.75" x14ac:dyDescent="0.25">
      <c r="A16" s="5" t="s">
        <v>23</v>
      </c>
      <c r="B16" s="6">
        <f>(' Fruits 2013-14(Final)'!B16-'3rd Fruits 2013-14'!B16)/'3rd Fruits 2013-14'!B16*100</f>
        <v>0</v>
      </c>
      <c r="C16" s="6">
        <f>(' Fruits 2013-14(Final)'!C16-'3rd Fruits 2013-14'!C16)/'3rd Fruits 2013-14'!C16*100</f>
        <v>0</v>
      </c>
      <c r="D16" s="6">
        <f>(' Fruits 2013-14(Final)'!D16-'3rd Fruits 2013-14'!D16)/'3rd Fruits 2013-14'!D16*100</f>
        <v>0</v>
      </c>
      <c r="E16" s="6">
        <f>(' Fruits 2013-14(Final)'!E16-'3rd Fruits 2013-14'!E16)/'3rd Fruits 2013-14'!E16*100</f>
        <v>-0.200400801603214</v>
      </c>
      <c r="F16" s="6">
        <f>(' Fruits 2013-14(Final)'!F16-'3rd Fruits 2013-14'!F16)/'3rd Fruits 2013-14'!F16*100</f>
        <v>0</v>
      </c>
      <c r="G16" s="6">
        <f>(' Fruits 2013-14(Final)'!G16-'3rd Fruits 2013-14'!G16)/'3rd Fruits 2013-14'!G16*100</f>
        <v>0</v>
      </c>
      <c r="H16" s="6"/>
      <c r="I16" s="6"/>
      <c r="J16" s="6"/>
      <c r="K16" s="6"/>
      <c r="L16" s="6">
        <f>(' Fruits 2013-14(Final)'!L16-'3rd Fruits 2013-14'!L16)/'3rd Fruits 2013-14'!L16*100</f>
        <v>-0.66978389991153708</v>
      </c>
      <c r="M16" s="6">
        <f>(' Fruits 2013-14(Final)'!M16-'3rd Fruits 2013-14'!M16)/'3rd Fruits 2013-14'!M16*100</f>
        <v>0</v>
      </c>
      <c r="N16" s="6"/>
      <c r="O16" s="6"/>
      <c r="P16" s="6">
        <f>(' Fruits 2013-14(Final)'!P16-'3rd Fruits 2013-14'!P16)/'3rd Fruits 2013-14'!P16*100</f>
        <v>0</v>
      </c>
      <c r="Q16" s="6">
        <f>(' Fruits 2013-14(Final)'!Q16-'3rd Fruits 2013-14'!Q16)/'3rd Fruits 2013-14'!Q16*100</f>
        <v>57.203389830508478</v>
      </c>
      <c r="R16" s="6">
        <f>(' Fruits 2013-14(Final)'!R16-'3rd Fruits 2013-14'!R16)/'3rd Fruits 2013-14'!R16*100</f>
        <v>0</v>
      </c>
      <c r="S16" s="6">
        <f>(' Fruits 2013-14(Final)'!S16-'3rd Fruits 2013-14'!S16)/'3rd Fruits 2013-14'!S16*100</f>
        <v>0</v>
      </c>
      <c r="T16" s="6"/>
      <c r="U16" s="6"/>
      <c r="V16" s="6">
        <f>(' Fruits 2013-14(Final)'!V16-'3rd Fruits 2013-14'!V16)/'3rd Fruits 2013-14'!V16*100</f>
        <v>900</v>
      </c>
      <c r="W16" s="6">
        <f>(' Fruits 2013-14(Final)'!W16-'3rd Fruits 2013-14'!W16)/'3rd Fruits 2013-14'!W16*100</f>
        <v>0</v>
      </c>
      <c r="X16" s="6">
        <f>(' Fruits 2013-14(Final)'!X16-'3rd Fruits 2013-14'!X16)/'3rd Fruits 2013-14'!X16*100</f>
        <v>0</v>
      </c>
      <c r="Y16" s="6">
        <f>(' Fruits 2013-14(Final)'!Y16-'3rd Fruits 2013-14'!Y16)/'3rd Fruits 2013-14'!Y16*100</f>
        <v>1538.4615384615383</v>
      </c>
      <c r="Z16" s="6">
        <f>(' Fruits 2013-14(Final)'!Z16-'3rd Fruits 2013-14'!Z16)/'3rd Fruits 2013-14'!Z16*100</f>
        <v>0</v>
      </c>
      <c r="AA16" s="6">
        <f>(' Fruits 2013-14(Final)'!AA16-'3rd Fruits 2013-14'!AA16)/'3rd Fruits 2013-14'!AA16*100</f>
        <v>0</v>
      </c>
      <c r="AB16" s="6"/>
      <c r="AC16" s="6"/>
      <c r="AD16" s="6"/>
      <c r="AE16" s="6"/>
      <c r="AF16" s="6">
        <f>(' Fruits 2013-14(Final)'!AF16-'3rd Fruits 2013-14'!AF16)/'3rd Fruits 2013-14'!AF16*100</f>
        <v>0</v>
      </c>
      <c r="AG16" s="6">
        <f>(' Fruits 2013-14(Final)'!AG16-'3rd Fruits 2013-14'!AG16)/'3rd Fruits 2013-14'!AG16*100</f>
        <v>0</v>
      </c>
      <c r="AH16" s="6">
        <f>(' Fruits 2013-14(Final)'!AH16-'3rd Fruits 2013-14'!AH16)/'3rd Fruits 2013-14'!AH16*100</f>
        <v>0</v>
      </c>
      <c r="AI16" s="6">
        <f>(' Fruits 2013-14(Final)'!AI16-'3rd Fruits 2013-14'!AI16)/'3rd Fruits 2013-14'!AI16*100</f>
        <v>0</v>
      </c>
      <c r="AJ16" s="6">
        <f>(' Fruits 2013-14(Final)'!AJ16-'3rd Fruits 2013-14'!AJ16)/'3rd Fruits 2013-14'!AJ16*100</f>
        <v>0</v>
      </c>
      <c r="AK16" s="6">
        <f>(' Fruits 2013-14(Final)'!AK16-'3rd Fruits 2013-14'!AK16)/'3rd Fruits 2013-14'!AK16*100</f>
        <v>0</v>
      </c>
      <c r="AL16" s="6">
        <f>(' Fruits 2013-14(Final)'!AL16-'3rd Fruits 2013-14'!AL16)/'3rd Fruits 2013-14'!AL16*100</f>
        <v>0</v>
      </c>
      <c r="AM16" s="6">
        <f>(' Fruits 2013-14(Final)'!AM16-'3rd Fruits 2013-14'!AM16)/'3rd Fruits 2013-14'!AM16*100</f>
        <v>0</v>
      </c>
      <c r="AN16" s="6"/>
      <c r="AO16" s="6"/>
      <c r="AP16" s="6">
        <f>(' Fruits 2013-14(Final)'!AP16-'3rd Fruits 2013-14'!AP16)/'3rd Fruits 2013-14'!AP16*100</f>
        <v>0</v>
      </c>
      <c r="AQ16" s="6">
        <f>(' Fruits 2013-14(Final)'!AQ16-'3rd Fruits 2013-14'!AQ16)/'3rd Fruits 2013-14'!AQ16*100</f>
        <v>0</v>
      </c>
      <c r="AR16" s="6">
        <f>(' Fruits 2013-14(Final)'!AR16-'3rd Fruits 2013-14'!AR16)/'3rd Fruits 2013-14'!AR16*100</f>
        <v>0</v>
      </c>
      <c r="AS16" s="6">
        <f>(' Fruits 2013-14(Final)'!AS16-'3rd Fruits 2013-14'!AS16)/'3rd Fruits 2013-14'!AS16*100</f>
        <v>0</v>
      </c>
      <c r="AT16" s="6"/>
      <c r="AU16" s="6"/>
      <c r="AV16" s="6">
        <f>(' Fruits 2013-14(Final)'!AV16-'3rd Fruits 2013-14'!AV16)/'3rd Fruits 2013-14'!AV16*100</f>
        <v>-90</v>
      </c>
      <c r="AW16" s="6">
        <f>(' Fruits 2013-14(Final)'!AW16-'3rd Fruits 2013-14'!AW16)/'3rd Fruits 2013-14'!AW16*100</f>
        <v>0</v>
      </c>
      <c r="AX16" s="6">
        <f>(' Fruits 2013-14(Final)'!AX16-'3rd Fruits 2013-14'!AX16)/'3rd Fruits 2013-14'!AX16*100</f>
        <v>0</v>
      </c>
      <c r="AY16" s="6">
        <f>(' Fruits 2013-14(Final)'!AY16-'3rd Fruits 2013-14'!AY16)/'3rd Fruits 2013-14'!AY16*100</f>
        <v>0</v>
      </c>
      <c r="AZ16" s="6">
        <f>(' Fruits 2013-14(Final)'!AZ16-'3rd Fruits 2013-14'!AZ16)/'3rd Fruits 2013-14'!AZ16*100</f>
        <v>0.85941976144590404</v>
      </c>
      <c r="BA16" s="6">
        <f>(' Fruits 2013-14(Final)'!BA16-'3rd Fruits 2013-14'!BA16)/'3rd Fruits 2013-14'!BA16*100</f>
        <v>-1.4441338477299705E-14</v>
      </c>
      <c r="BB16" s="2">
        <f t="shared" si="0"/>
        <v>810.18963586153438</v>
      </c>
      <c r="BC16" s="2">
        <f t="shared" si="0"/>
        <v>1595.4645274904435</v>
      </c>
    </row>
    <row r="17" spans="1:55" ht="15.75" x14ac:dyDescent="0.25">
      <c r="A17" s="5" t="s">
        <v>24</v>
      </c>
      <c r="B17" s="6"/>
      <c r="C17" s="6"/>
      <c r="D17" s="6">
        <f>(' Fruits 2013-14(Final)'!D17-'3rd Fruits 2013-14'!D17)/'3rd Fruits 2013-14'!D17*100</f>
        <v>0</v>
      </c>
      <c r="E17" s="6">
        <f>(' Fruits 2013-14(Final)'!E17-'3rd Fruits 2013-14'!E17)/'3rd Fruits 2013-14'!E17*100</f>
        <v>0</v>
      </c>
      <c r="F17" s="6"/>
      <c r="G17" s="6"/>
      <c r="H17" s="6">
        <f>(' Fruits 2013-14(Final)'!H17-'3rd Fruits 2013-14'!H17)/'3rd Fruits 2013-14'!H17*100</f>
        <v>0</v>
      </c>
      <c r="I17" s="6">
        <f>(' Fruits 2013-14(Final)'!I17-'3rd Fruits 2013-14'!I17)/'3rd Fruits 2013-14'!I17*100</f>
        <v>0</v>
      </c>
      <c r="J17" s="6">
        <f>(' Fruits 2013-14(Final)'!J17-'3rd Fruits 2013-14'!J17)/'3rd Fruits 2013-14'!J17*100</f>
        <v>0</v>
      </c>
      <c r="K17" s="6">
        <f>(' Fruits 2013-14(Final)'!K17-'3rd Fruits 2013-14'!K17)/'3rd Fruits 2013-14'!K17*100</f>
        <v>0</v>
      </c>
      <c r="L17" s="6">
        <f>(' Fruits 2013-14(Final)'!L17-'3rd Fruits 2013-14'!L17)/'3rd Fruits 2013-14'!L17*100</f>
        <v>0</v>
      </c>
      <c r="M17" s="6">
        <f>(' Fruits 2013-14(Final)'!M17-'3rd Fruits 2013-14'!M17)/'3rd Fruits 2013-14'!M17*100</f>
        <v>0</v>
      </c>
      <c r="N17" s="6"/>
      <c r="O17" s="6"/>
      <c r="P17" s="6"/>
      <c r="Q17" s="6"/>
      <c r="R17" s="6">
        <f>(' Fruits 2013-14(Final)'!R17-'3rd Fruits 2013-14'!R17)/'3rd Fruits 2013-14'!R17*100</f>
        <v>0</v>
      </c>
      <c r="S17" s="6">
        <f>(' Fruits 2013-14(Final)'!S17-'3rd Fruits 2013-14'!S17)/'3rd Fruits 2013-14'!S17*100</f>
        <v>0</v>
      </c>
      <c r="T17" s="6">
        <f>(' Fruits 2013-14(Final)'!T17-'3rd Fruits 2013-14'!T17)/'3rd Fruits 2013-14'!T17*100</f>
        <v>0</v>
      </c>
      <c r="U17" s="6">
        <f>(' Fruits 2013-14(Final)'!U17-'3rd Fruits 2013-14'!U17)/'3rd Fruits 2013-14'!U17*100</f>
        <v>0</v>
      </c>
      <c r="V17" s="6"/>
      <c r="W17" s="6"/>
      <c r="X17" s="6">
        <f>(' Fruits 2013-14(Final)'!X17-'3rd Fruits 2013-14'!X17)/'3rd Fruits 2013-14'!X17*100</f>
        <v>0</v>
      </c>
      <c r="Y17" s="6">
        <f>(' Fruits 2013-14(Final)'!Y17-'3rd Fruits 2013-14'!Y17)/'3rd Fruits 2013-14'!Y17*100</f>
        <v>0</v>
      </c>
      <c r="Z17" s="6">
        <f>(' Fruits 2013-14(Final)'!Z17-'3rd Fruits 2013-14'!Z17)/'3rd Fruits 2013-14'!Z17*100</f>
        <v>0</v>
      </c>
      <c r="AA17" s="6">
        <f>(' Fruits 2013-14(Final)'!AA17-'3rd Fruits 2013-14'!AA17)/'3rd Fruits 2013-14'!AA17*100</f>
        <v>0</v>
      </c>
      <c r="AB17" s="6">
        <f>(' Fruits 2013-14(Final)'!AB17-'3rd Fruits 2013-14'!AB17)/'3rd Fruits 2013-14'!AB17*100</f>
        <v>0</v>
      </c>
      <c r="AC17" s="6">
        <f>(' Fruits 2013-14(Final)'!AC17-'3rd Fruits 2013-14'!AC17)/'3rd Fruits 2013-14'!AC17*100</f>
        <v>0</v>
      </c>
      <c r="AD17" s="6"/>
      <c r="AE17" s="6"/>
      <c r="AF17" s="6">
        <f>(' Fruits 2013-14(Final)'!AF17-'3rd Fruits 2013-14'!AF17)/'3rd Fruits 2013-14'!AF17*100</f>
        <v>5.2154195011337965</v>
      </c>
      <c r="AG17" s="6">
        <f>(' Fruits 2013-14(Final)'!AG17-'3rd Fruits 2013-14'!AG17)/'3rd Fruits 2013-14'!AG17*100</f>
        <v>0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>
        <f>(' Fruits 2013-14(Final)'!AR17-'3rd Fruits 2013-14'!AR17)/'3rd Fruits 2013-14'!AR17*100</f>
        <v>0</v>
      </c>
      <c r="AS17" s="6">
        <f>(' Fruits 2013-14(Final)'!AS17-'3rd Fruits 2013-14'!AS17)/'3rd Fruits 2013-14'!AS17*100</f>
        <v>0</v>
      </c>
      <c r="AT17" s="6"/>
      <c r="AU17" s="6"/>
      <c r="AV17" s="6"/>
      <c r="AW17" s="6"/>
      <c r="AX17" s="6"/>
      <c r="AY17" s="6"/>
      <c r="AZ17" s="6">
        <f>(' Fruits 2013-14(Final)'!AZ17-'3rd Fruits 2013-14'!AZ17)/'3rd Fruits 2013-14'!AZ17*100</f>
        <v>0</v>
      </c>
      <c r="BA17" s="6">
        <f>(' Fruits 2013-14(Final)'!BA17-'3rd Fruits 2013-14'!BA17)/'3rd Fruits 2013-14'!BA17*100</f>
        <v>0</v>
      </c>
      <c r="BB17" s="2">
        <f t="shared" si="0"/>
        <v>5.2154195011337965</v>
      </c>
      <c r="BC17" s="2">
        <f t="shared" si="0"/>
        <v>0</v>
      </c>
    </row>
    <row r="18" spans="1:55" ht="15.75" x14ac:dyDescent="0.25">
      <c r="A18" s="5" t="s">
        <v>25</v>
      </c>
      <c r="B18" s="6"/>
      <c r="C18" s="6"/>
      <c r="D18" s="6">
        <f>(' Fruits 2013-14(Final)'!D18-'3rd Fruits 2013-14'!D18)/'3rd Fruits 2013-14'!D18*100</f>
        <v>-20.000000000000004</v>
      </c>
      <c r="E18" s="6">
        <f>(' Fruits 2013-14(Final)'!E18-'3rd Fruits 2013-14'!E18)/'3rd Fruits 2013-14'!E18*100</f>
        <v>-4.4444444444444482</v>
      </c>
      <c r="F18" s="6"/>
      <c r="G18" s="6"/>
      <c r="H18" s="6"/>
      <c r="I18" s="6"/>
      <c r="J18" s="6">
        <f>(' Fruits 2013-14(Final)'!J18-'3rd Fruits 2013-14'!J18)/'3rd Fruits 2013-14'!J18*100</f>
        <v>9.7370983446844247E-3</v>
      </c>
      <c r="K18" s="6">
        <f>(' Fruits 2013-14(Final)'!K18-'3rd Fruits 2013-14'!K18)/'3rd Fruits 2013-14'!K18*100</f>
        <v>1.121243833166396E-3</v>
      </c>
      <c r="L18" s="6">
        <f>(' Fruits 2013-14(Final)'!L18-'3rd Fruits 2013-14'!L18)/'3rd Fruits 2013-14'!L18*100</f>
        <v>-5.7142857142857038</v>
      </c>
      <c r="M18" s="6">
        <f>(' Fruits 2013-14(Final)'!M18-'3rd Fruits 2013-14'!M18)/'3rd Fruits 2013-14'!M18*100</f>
        <v>5.2631578947376648E-2</v>
      </c>
      <c r="N18" s="6">
        <f>(' Fruits 2013-14(Final)'!N18-'3rd Fruits 2013-14'!N18)/'3rd Fruits 2013-14'!N18*100</f>
        <v>-3.3333333333333361</v>
      </c>
      <c r="O18" s="6">
        <f>(' Fruits 2013-14(Final)'!O18-'3rd Fruits 2013-14'!O18)/'3rd Fruits 2013-14'!O18*100</f>
        <v>-0.24590163934425707</v>
      </c>
      <c r="P18" s="6">
        <f>(' Fruits 2013-14(Final)'!P18-'3rd Fruits 2013-14'!P18)/'3rd Fruits 2013-14'!P18*100</f>
        <v>-0.19512195121950804</v>
      </c>
      <c r="Q18" s="6">
        <f>(' Fruits 2013-14(Final)'!Q18-'3rd Fruits 2013-14'!Q18)/'3rd Fruits 2013-14'!Q18*100</f>
        <v>-3.3068783068753E-3</v>
      </c>
      <c r="R18" s="6">
        <f>(' Fruits 2013-14(Final)'!R18-'3rd Fruits 2013-14'!R18)/'3rd Fruits 2013-14'!R18*100</f>
        <v>0.46874999999999001</v>
      </c>
      <c r="S18" s="6">
        <f>(' Fruits 2013-14(Final)'!S18-'3rd Fruits 2013-14'!S18)/'3rd Fruits 2013-14'!S18*100</f>
        <v>-6.9735006973635468E-3</v>
      </c>
      <c r="T18" s="6">
        <f>(' Fruits 2013-14(Final)'!T18-'3rd Fruits 2013-14'!T18)/'3rd Fruits 2013-14'!T18*100</f>
        <v>0</v>
      </c>
      <c r="U18" s="6">
        <f>(' Fruits 2013-14(Final)'!U18-'3rd Fruits 2013-14'!U18)/'3rd Fruits 2013-14'!U18*100</f>
        <v>-2.0449897750507179E-2</v>
      </c>
      <c r="V18" s="6"/>
      <c r="W18" s="6"/>
      <c r="X18" s="6"/>
      <c r="Y18" s="6"/>
      <c r="Z18" s="6">
        <f>(' Fruits 2013-14(Final)'!Z18-'3rd Fruits 2013-14'!Z18)/'3rd Fruits 2013-14'!Z18*100</f>
        <v>1.6620498614959078E-2</v>
      </c>
      <c r="AA18" s="6">
        <f>(' Fruits 2013-14(Final)'!AA18-'3rd Fruits 2013-14'!AA18)/'3rd Fruits 2013-14'!AA18*100</f>
        <v>-2.2784233310528378E-3</v>
      </c>
      <c r="AB18" s="6">
        <f>(' Fruits 2013-14(Final)'!AB18-'3rd Fruits 2013-14'!AB18)/'3rd Fruits 2013-14'!AB18*100</f>
        <v>-0.73529411764705621</v>
      </c>
      <c r="AC18" s="6">
        <f>(' Fruits 2013-14(Final)'!AC18-'3rd Fruits 2013-14'!AC18)/'3rd Fruits 2013-14'!AC18*100</f>
        <v>2.1021652301851808E-3</v>
      </c>
      <c r="AD18" s="6"/>
      <c r="AE18" s="6"/>
      <c r="AF18" s="6">
        <f>(' Fruits 2013-14(Final)'!AF18-'3rd Fruits 2013-14'!AF18)/'3rd Fruits 2013-14'!AF18*100</f>
        <v>-5.7803468208101519E-2</v>
      </c>
      <c r="AG18" s="6">
        <f>(' Fruits 2013-14(Final)'!AG18-'3rd Fruits 2013-14'!AG18)/'3rd Fruits 2013-14'!AG18*100</f>
        <v>1.3185654008426823E-2</v>
      </c>
      <c r="AH18" s="6"/>
      <c r="AI18" s="6"/>
      <c r="AJ18" s="6"/>
      <c r="AK18" s="6"/>
      <c r="AL18" s="6"/>
      <c r="AM18" s="6"/>
      <c r="AN18" s="6">
        <f>(' Fruits 2013-14(Final)'!AN18-'3rd Fruits 2013-14'!AN18)/'3rd Fruits 2013-14'!AN18*100</f>
        <v>0.74074074074074137</v>
      </c>
      <c r="AO18" s="6">
        <f>(' Fruits 2013-14(Final)'!AO18-'3rd Fruits 2013-14'!AO18)/'3rd Fruits 2013-14'!AO18*100</f>
        <v>6.2383031815289487E-3</v>
      </c>
      <c r="AP18" s="6"/>
      <c r="AQ18" s="6"/>
      <c r="AR18" s="6">
        <f>(' Fruits 2013-14(Final)'!AR18-'3rd Fruits 2013-14'!AR18)/'3rd Fruits 2013-14'!AR18*100</f>
        <v>0.12048192771084081</v>
      </c>
      <c r="AS18" s="6">
        <f>(' Fruits 2013-14(Final)'!AS18-'3rd Fruits 2013-14'!AS18)/'3rd Fruits 2013-14'!AS18*100</f>
        <v>-1.4903129657214464E-2</v>
      </c>
      <c r="AT18" s="6">
        <f>(' Fruits 2013-14(Final)'!AT18-'3rd Fruits 2013-14'!AT18)/'3rd Fruits 2013-14'!AT18*100</f>
        <v>-9.6153846153838415E-2</v>
      </c>
      <c r="AU18" s="6">
        <f>(' Fruits 2013-14(Final)'!AU18-'3rd Fruits 2013-14'!AU18)/'3rd Fruits 2013-14'!AU18*100</f>
        <v>1.3676148796486466E-2</v>
      </c>
      <c r="AV18" s="6"/>
      <c r="AW18" s="6"/>
      <c r="AX18" s="6"/>
      <c r="AY18" s="6"/>
      <c r="AZ18" s="6">
        <f>(' Fruits 2013-14(Final)'!AZ18-'3rd Fruits 2013-14'!AZ18)/'3rd Fruits 2013-14'!AZ18*100</f>
        <v>4.4117647058823506</v>
      </c>
      <c r="BA18" s="6">
        <f>(' Fruits 2013-14(Final)'!BA18-'3rd Fruits 2013-14'!BA18)/'3rd Fruits 2013-14'!BA18*100</f>
        <v>2.6645768025078413</v>
      </c>
      <c r="BB18" s="2">
        <f t="shared" si="0"/>
        <v>-24.363897459553989</v>
      </c>
      <c r="BC18" s="2">
        <f t="shared" si="0"/>
        <v>-1.9847260170267069</v>
      </c>
    </row>
    <row r="19" spans="1:55" ht="15.75" x14ac:dyDescent="0.25">
      <c r="A19" s="5" t="s">
        <v>26</v>
      </c>
      <c r="B19" s="6"/>
      <c r="C19" s="6"/>
      <c r="D19" s="6"/>
      <c r="E19" s="6"/>
      <c r="F19" s="6"/>
      <c r="G19" s="6"/>
      <c r="H19" s="6"/>
      <c r="I19" s="6"/>
      <c r="J19" s="6">
        <f>(' Fruits 2013-14(Final)'!J19-'3rd Fruits 2013-14'!J19)/'3rd Fruits 2013-14'!J19*100</f>
        <v>-43.518381931127173</v>
      </c>
      <c r="K19" s="6">
        <f>(' Fruits 2013-14(Final)'!K19-'3rd Fruits 2013-14'!K19)/'3rd Fruits 2013-14'!K19*100</f>
        <v>2.4254552576416071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>
        <f>(' Fruits 2013-14(Final)'!Z19-'3rd Fruits 2013-14'!Z19)/'3rd Fruits 2013-14'!Z19*100</f>
        <v>0</v>
      </c>
      <c r="AA19" s="6">
        <f>(' Fruits 2013-14(Final)'!AA19-'3rd Fruits 2013-14'!AA19)/'3rd Fruits 2013-14'!AA19*100</f>
        <v>0</v>
      </c>
      <c r="AB19" s="6">
        <f>(' Fruits 2013-14(Final)'!AB19-'3rd Fruits 2013-14'!AB19)/'3rd Fruits 2013-14'!AB19*100</f>
        <v>-4.6222060252672454</v>
      </c>
      <c r="AC19" s="6">
        <f>(' Fruits 2013-14(Final)'!AC19-'3rd Fruits 2013-14'!AC19)/'3rd Fruits 2013-14'!AC19*100</f>
        <v>-7.239618261542426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>
        <f>(' Fruits 2013-14(Final)'!AN19-'3rd Fruits 2013-14'!AN19)/'3rd Fruits 2013-14'!AN19*100</f>
        <v>0</v>
      </c>
      <c r="AO19" s="6">
        <f>(' Fruits 2013-14(Final)'!AO19-'3rd Fruits 2013-14'!AO19)/'3rd Fruits 2013-14'!AO19*100</f>
        <v>0</v>
      </c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>
        <f>(' Fruits 2013-14(Final)'!AZ19-'3rd Fruits 2013-14'!AZ19)/'3rd Fruits 2013-14'!AZ19*100</f>
        <v>0</v>
      </c>
      <c r="BA19" s="6">
        <f>(' Fruits 2013-14(Final)'!BA19-'3rd Fruits 2013-14'!BA19)/'3rd Fruits 2013-14'!BA19*100</f>
        <v>0</v>
      </c>
      <c r="BB19" s="2">
        <f t="shared" si="0"/>
        <v>-48.14058795639442</v>
      </c>
      <c r="BC19" s="2">
        <f t="shared" si="0"/>
        <v>-4.814163003900819</v>
      </c>
    </row>
    <row r="20" spans="1:55" ht="15.75" x14ac:dyDescent="0.25">
      <c r="A20" s="5" t="s">
        <v>56</v>
      </c>
      <c r="B20" s="6"/>
      <c r="C20" s="6"/>
      <c r="D20" s="6"/>
      <c r="E20" s="6"/>
      <c r="F20" s="6"/>
      <c r="G20" s="6"/>
      <c r="H20" s="6"/>
      <c r="I20" s="6"/>
      <c r="J20" s="6">
        <f>(' Fruits 2013-14(Final)'!J20-'3rd Fruits 2013-14'!J20)/'3rd Fruits 2013-14'!J20*100</f>
        <v>0</v>
      </c>
      <c r="K20" s="6">
        <f>(' Fruits 2013-14(Final)'!K20-'3rd Fruits 2013-14'!K20)/'3rd Fruits 2013-14'!K20*100</f>
        <v>0</v>
      </c>
      <c r="L20" s="6"/>
      <c r="M20" s="6"/>
      <c r="N20" s="6"/>
      <c r="O20" s="6"/>
      <c r="P20" s="6"/>
      <c r="Q20" s="6"/>
      <c r="R20" s="6">
        <f>(' Fruits 2013-14(Final)'!R20-'3rd Fruits 2013-14'!R20)/'3rd Fruits 2013-14'!R20*100</f>
        <v>0</v>
      </c>
      <c r="S20" s="6">
        <f>(' Fruits 2013-14(Final)'!S20-'3rd Fruits 2013-14'!S20)/'3rd Fruits 2013-14'!S20*100</f>
        <v>0</v>
      </c>
      <c r="T20" s="6"/>
      <c r="U20" s="6"/>
      <c r="V20" s="6"/>
      <c r="W20" s="6"/>
      <c r="X20" s="6"/>
      <c r="Y20" s="6"/>
      <c r="Z20" s="6"/>
      <c r="AA20" s="6"/>
      <c r="AB20" s="6">
        <f>(' Fruits 2013-14(Final)'!AB20-'3rd Fruits 2013-14'!AB20)/'3rd Fruits 2013-14'!AB20*100</f>
        <v>0</v>
      </c>
      <c r="AC20" s="6">
        <f>(' Fruits 2013-14(Final)'!AC20-'3rd Fruits 2013-14'!AC20)/'3rd Fruits 2013-14'!AC20*100</f>
        <v>0</v>
      </c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>
        <f>(' Fruits 2013-14(Final)'!AR20-'3rd Fruits 2013-14'!AR20)/'3rd Fruits 2013-14'!AR20*100</f>
        <v>0</v>
      </c>
      <c r="AS20" s="6">
        <f>(' Fruits 2013-14(Final)'!AS20-'3rd Fruits 2013-14'!AS20)/'3rd Fruits 2013-14'!AS20*100</f>
        <v>0</v>
      </c>
      <c r="AT20" s="6">
        <f>(' Fruits 2013-14(Final)'!AT20-'3rd Fruits 2013-14'!AT20)/'3rd Fruits 2013-14'!AT20*100</f>
        <v>0</v>
      </c>
      <c r="AU20" s="6">
        <f>(' Fruits 2013-14(Final)'!AU20-'3rd Fruits 2013-14'!AU20)/'3rd Fruits 2013-14'!AU20*100</f>
        <v>0</v>
      </c>
      <c r="AV20" s="6"/>
      <c r="AW20" s="6"/>
      <c r="AX20" s="6"/>
      <c r="AY20" s="6"/>
      <c r="AZ20" s="6">
        <f>(' Fruits 2013-14(Final)'!AZ20-'3rd Fruits 2013-14'!AZ20)/'3rd Fruits 2013-14'!AZ20*100</f>
        <v>0</v>
      </c>
      <c r="BA20" s="6">
        <f>(' Fruits 2013-14(Final)'!BA20-'3rd Fruits 2013-14'!BA20)/'3rd Fruits 2013-14'!BA20*100</f>
        <v>0</v>
      </c>
      <c r="BB20" s="2">
        <f t="shared" si="0"/>
        <v>0</v>
      </c>
      <c r="BC20" s="2">
        <f t="shared" si="0"/>
        <v>0</v>
      </c>
    </row>
    <row r="21" spans="1:55" ht="15.75" x14ac:dyDescent="0.25">
      <c r="A21" s="5" t="s">
        <v>27</v>
      </c>
      <c r="B21" s="6"/>
      <c r="C21" s="6"/>
      <c r="D21" s="6">
        <f>(' Fruits 2013-14(Final)'!D21-'3rd Fruits 2013-14'!D21)/'3rd Fruits 2013-14'!D21*100</f>
        <v>0</v>
      </c>
      <c r="E21" s="6">
        <f>(' Fruits 2013-14(Final)'!E21-'3rd Fruits 2013-14'!E21)/'3rd Fruits 2013-14'!E21*100</f>
        <v>0.10435967302451808</v>
      </c>
      <c r="F21" s="6"/>
      <c r="G21" s="6"/>
      <c r="H21" s="6"/>
      <c r="I21" s="6"/>
      <c r="J21" s="6">
        <f>(' Fruits 2013-14(Final)'!J21-'3rd Fruits 2013-14'!J21)/'3rd Fruits 2013-14'!J21*100</f>
        <v>0</v>
      </c>
      <c r="K21" s="6">
        <f>(' Fruits 2013-14(Final)'!K21-'3rd Fruits 2013-14'!K21)/'3rd Fruits 2013-14'!K21*100</f>
        <v>1.7291066282011869E-4</v>
      </c>
      <c r="L21" s="6">
        <f>(' Fruits 2013-14(Final)'!L21-'3rd Fruits 2013-14'!L21)/'3rd Fruits 2013-14'!L21*100</f>
        <v>0</v>
      </c>
      <c r="M21" s="6">
        <f>(' Fruits 2013-14(Final)'!M21-'3rd Fruits 2013-14'!M21)/'3rd Fruits 2013-14'!M21*100</f>
        <v>0</v>
      </c>
      <c r="N21" s="6">
        <f>(' Fruits 2013-14(Final)'!N21-'3rd Fruits 2013-14'!N21)/'3rd Fruits 2013-14'!N21*100</f>
        <v>0</v>
      </c>
      <c r="O21" s="6">
        <f>(' Fruits 2013-14(Final)'!O21-'3rd Fruits 2013-14'!O21)/'3rd Fruits 2013-14'!O21*100</f>
        <v>-1.47058823529487E-2</v>
      </c>
      <c r="P21" s="6">
        <f>(' Fruits 2013-14(Final)'!P21-'3rd Fruits 2013-14'!P21)/'3rd Fruits 2013-14'!P21*100</f>
        <v>0</v>
      </c>
      <c r="Q21" s="6">
        <f>(' Fruits 2013-14(Final)'!Q21-'3rd Fruits 2013-14'!Q21)/'3rd Fruits 2013-14'!Q21*100</f>
        <v>0</v>
      </c>
      <c r="R21" s="6">
        <f>(' Fruits 2013-14(Final)'!R21-'3rd Fruits 2013-14'!R21)/'3rd Fruits 2013-14'!R21*100</f>
        <v>0</v>
      </c>
      <c r="S21" s="6">
        <f>(' Fruits 2013-14(Final)'!S21-'3rd Fruits 2013-14'!S21)/'3rd Fruits 2013-14'!S21*100</f>
        <v>3.566757817059873E-4</v>
      </c>
      <c r="T21" s="6">
        <f>(' Fruits 2013-14(Final)'!T21-'3rd Fruits 2013-14'!T21)/'3rd Fruits 2013-14'!T21*100</f>
        <v>0</v>
      </c>
      <c r="U21" s="6">
        <f>(' Fruits 2013-14(Final)'!U21-'3rd Fruits 2013-14'!U21)/'3rd Fruits 2013-14'!U21*100</f>
        <v>6.8749999999972991E-3</v>
      </c>
      <c r="V21" s="6"/>
      <c r="W21" s="6"/>
      <c r="X21" s="6"/>
      <c r="Y21" s="6"/>
      <c r="Z21" s="6">
        <f>(' Fruits 2013-14(Final)'!Z21-'3rd Fruits 2013-14'!Z21)/'3rd Fruits 2013-14'!Z21*100</f>
        <v>-3.9315903282786295E-3</v>
      </c>
      <c r="AA21" s="6">
        <f>(' Fruits 2013-14(Final)'!AA21-'3rd Fruits 2013-14'!AA21)/'3rd Fruits 2013-14'!AA21*100</f>
        <v>-1.8430753027907629E-2</v>
      </c>
      <c r="AB21" s="6">
        <f>(' Fruits 2013-14(Final)'!AB21-'3rd Fruits 2013-14'!AB21)/'3rd Fruits 2013-14'!AB21*100</f>
        <v>-7.5970523436864378E-3</v>
      </c>
      <c r="AC21" s="6">
        <f>(' Fruits 2013-14(Final)'!AC21-'3rd Fruits 2013-14'!AC21)/'3rd Fruits 2013-14'!AC21*100</f>
        <v>-2.7668895549920348E-3</v>
      </c>
      <c r="AD21" s="6"/>
      <c r="AE21" s="6"/>
      <c r="AF21" s="6">
        <f>(' Fruits 2013-14(Final)'!AF21-'3rd Fruits 2013-14'!AF21)/'3rd Fruits 2013-14'!AF21*100</f>
        <v>-1.3926024955503212E-3</v>
      </c>
      <c r="AG21" s="6">
        <f>(' Fruits 2013-14(Final)'!AG21-'3rd Fruits 2013-14'!AG21)/'3rd Fruits 2013-14'!AG21*100</f>
        <v>-1.7324738114435578E-2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>
        <f>(' Fruits 2013-14(Final)'!AR21-'3rd Fruits 2013-14'!AR21)/'3rd Fruits 2013-14'!AR21*100</f>
        <v>0</v>
      </c>
      <c r="AS21" s="6">
        <f>(' Fruits 2013-14(Final)'!AS21-'3rd Fruits 2013-14'!AS21)/'3rd Fruits 2013-14'!AS21*100</f>
        <v>-3.5573122529645618E-2</v>
      </c>
      <c r="AT21" s="6"/>
      <c r="AU21" s="6"/>
      <c r="AV21" s="6"/>
      <c r="AW21" s="6"/>
      <c r="AX21" s="6"/>
      <c r="AY21" s="6"/>
      <c r="AZ21" s="6">
        <f>(' Fruits 2013-14(Final)'!AZ21-'3rd Fruits 2013-14'!AZ21)/'3rd Fruits 2013-14'!AZ21*100</f>
        <v>0</v>
      </c>
      <c r="BA21" s="6">
        <f>(' Fruits 2013-14(Final)'!BA21-'3rd Fruits 2013-14'!BA21)/'3rd Fruits 2013-14'!BA21*100</f>
        <v>0.93473193473193261</v>
      </c>
      <c r="BB21" s="2">
        <f t="shared" si="0"/>
        <v>-1.2921245167515388E-2</v>
      </c>
      <c r="BC21" s="2">
        <f t="shared" si="0"/>
        <v>0.9576948086210445</v>
      </c>
    </row>
    <row r="22" spans="1:55" ht="15.75" x14ac:dyDescent="0.25">
      <c r="A22" s="5" t="s">
        <v>28</v>
      </c>
      <c r="B22" s="6"/>
      <c r="C22" s="6"/>
      <c r="D22" s="6"/>
      <c r="E22" s="6"/>
      <c r="F22" s="6"/>
      <c r="G22" s="6"/>
      <c r="H22" s="6"/>
      <c r="I22" s="6"/>
      <c r="J22" s="6">
        <f>(' Fruits 2013-14(Final)'!J22-'3rd Fruits 2013-14'!J22)/'3rd Fruits 2013-14'!J22*100</f>
        <v>0</v>
      </c>
      <c r="K22" s="6">
        <f>(' Fruits 2013-14(Final)'!K22-'3rd Fruits 2013-14'!K22)/'3rd Fruits 2013-14'!K22*100</f>
        <v>16.400000000000009</v>
      </c>
      <c r="L22" s="6"/>
      <c r="M22" s="6"/>
      <c r="N22" s="6"/>
      <c r="O22" s="6"/>
      <c r="P22" s="6">
        <f>(' Fruits 2013-14(Final)'!P22-'3rd Fruits 2013-14'!P22)/'3rd Fruits 2013-14'!P22*100</f>
        <v>0</v>
      </c>
      <c r="Q22" s="6">
        <f>(' Fruits 2013-14(Final)'!Q22-'3rd Fruits 2013-14'!Q22)/'3rd Fruits 2013-14'!Q22*100</f>
        <v>2.8571428571428572</v>
      </c>
      <c r="R22" s="6">
        <f>(' Fruits 2013-14(Final)'!R22-'3rd Fruits 2013-14'!R22)/'3rd Fruits 2013-14'!R22*100</f>
        <v>0</v>
      </c>
      <c r="S22" s="6">
        <f>(' Fruits 2013-14(Final)'!S22-'3rd Fruits 2013-14'!S22)/'3rd Fruits 2013-14'!S22*100</f>
        <v>2.5316455696202533</v>
      </c>
      <c r="T22" s="6"/>
      <c r="U22" s="6"/>
      <c r="V22" s="6"/>
      <c r="W22" s="6"/>
      <c r="X22" s="6"/>
      <c r="Y22" s="6"/>
      <c r="Z22" s="6">
        <f>(' Fruits 2013-14(Final)'!Z22-'3rd Fruits 2013-14'!Z22)/'3rd Fruits 2013-14'!Z22*100</f>
        <v>0</v>
      </c>
      <c r="AA22" s="6">
        <f>(' Fruits 2013-14(Final)'!AA22-'3rd Fruits 2013-14'!AA22)/'3rd Fruits 2013-14'!AA22*100</f>
        <v>89.453125</v>
      </c>
      <c r="AB22" s="6">
        <f>(' Fruits 2013-14(Final)'!AB22-'3rd Fruits 2013-14'!AB22)/'3rd Fruits 2013-14'!AB22*100</f>
        <v>0</v>
      </c>
      <c r="AC22" s="6">
        <f>(' Fruits 2013-14(Final)'!AC22-'3rd Fruits 2013-14'!AC22)/'3rd Fruits 2013-14'!AC22*100</f>
        <v>19.166666666666668</v>
      </c>
      <c r="AD22" s="6"/>
      <c r="AE22" s="6"/>
      <c r="AF22" s="6">
        <f>(' Fruits 2013-14(Final)'!AF22-'3rd Fruits 2013-14'!AF22)/'3rd Fruits 2013-14'!AF22*100</f>
        <v>0</v>
      </c>
      <c r="AG22" s="6">
        <f>(' Fruits 2013-14(Final)'!AG22-'3rd Fruits 2013-14'!AG22)/'3rd Fruits 2013-14'!AG22*100</f>
        <v>53.397212543554005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>
        <f>(' Fruits 2013-14(Final)'!AR22-'3rd Fruits 2013-14'!AR22)/'3rd Fruits 2013-14'!AR22*100</f>
        <v>0</v>
      </c>
      <c r="AS22" s="6">
        <f>(' Fruits 2013-14(Final)'!AS22-'3rd Fruits 2013-14'!AS22)/'3rd Fruits 2013-14'!AS22*100</f>
        <v>28.04878048780488</v>
      </c>
      <c r="AT22" s="6">
        <f>(' Fruits 2013-14(Final)'!AT22-'3rd Fruits 2013-14'!AT22)/'3rd Fruits 2013-14'!AT22*100</f>
        <v>0</v>
      </c>
      <c r="AU22" s="6">
        <f>(' Fruits 2013-14(Final)'!AU22-'3rd Fruits 2013-14'!AU22)/'3rd Fruits 2013-14'!AU22*100</f>
        <v>28.243243243243242</v>
      </c>
      <c r="AV22" s="6"/>
      <c r="AW22" s="6"/>
      <c r="AX22" s="6"/>
      <c r="AY22" s="6"/>
      <c r="AZ22" s="6">
        <f>(' Fruits 2013-14(Final)'!AZ22-'3rd Fruits 2013-14'!AZ22)/'3rd Fruits 2013-14'!AZ22*100</f>
        <v>0</v>
      </c>
      <c r="BA22" s="6">
        <f>(' Fruits 2013-14(Final)'!BA22-'3rd Fruits 2013-14'!BA22)/'3rd Fruits 2013-14'!BA22*100</f>
        <v>-1.4400000000005093E-2</v>
      </c>
      <c r="BB22" s="2">
        <f t="shared" si="0"/>
        <v>0</v>
      </c>
      <c r="BC22" s="2">
        <f t="shared" si="0"/>
        <v>240.08341636803189</v>
      </c>
    </row>
    <row r="23" spans="1:55" ht="15.75" x14ac:dyDescent="0.25">
      <c r="A23" s="16" t="s">
        <v>29</v>
      </c>
      <c r="B23" s="6"/>
      <c r="C23" s="6"/>
      <c r="D23" s="6"/>
      <c r="E23" s="6"/>
      <c r="F23" s="6"/>
      <c r="G23" s="6"/>
      <c r="H23" s="6"/>
      <c r="I23" s="6"/>
      <c r="J23" s="6">
        <f>(' Fruits 2013-14(Final)'!J23-'3rd Fruits 2013-14'!J23)/'3rd Fruits 2013-14'!J23*100</f>
        <v>0</v>
      </c>
      <c r="K23" s="6">
        <f>(' Fruits 2013-14(Final)'!K23-'3rd Fruits 2013-14'!K23)/'3rd Fruits 2013-14'!K23*100</f>
        <v>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>
        <f>(' Fruits 2013-14(Final)'!AD23-'3rd Fruits 2013-14'!AD23)/'3rd Fruits 2013-14'!AD23*100</f>
        <v>0</v>
      </c>
      <c r="AE23" s="6">
        <f>(' Fruits 2013-14(Final)'!AE23-'3rd Fruits 2013-14'!AE23)/'3rd Fruits 2013-14'!AE23*100</f>
        <v>0</v>
      </c>
      <c r="AF23" s="6">
        <f>(' Fruits 2013-14(Final)'!AF23-'3rd Fruits 2013-14'!AF23)/'3rd Fruits 2013-14'!AF23*100</f>
        <v>0</v>
      </c>
      <c r="AG23" s="6">
        <f>(' Fruits 2013-14(Final)'!AG23-'3rd Fruits 2013-14'!AG23)/'3rd Fruits 2013-14'!AG23*100</f>
        <v>0</v>
      </c>
      <c r="AH23" s="6"/>
      <c r="AI23" s="6"/>
      <c r="AJ23" s="6"/>
      <c r="AK23" s="6"/>
      <c r="AL23" s="6"/>
      <c r="AM23" s="6"/>
      <c r="AN23" s="6">
        <f>(' Fruits 2013-14(Final)'!AN23-'3rd Fruits 2013-14'!AN23)/'3rd Fruits 2013-14'!AN23*100</f>
        <v>0</v>
      </c>
      <c r="AO23" s="6">
        <f>(' Fruits 2013-14(Final)'!AO23-'3rd Fruits 2013-14'!AO23)/'3rd Fruits 2013-14'!AO23*100</f>
        <v>0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>
        <f>(' Fruits 2013-14(Final)'!AZ23-'3rd Fruits 2013-14'!AZ23)/'3rd Fruits 2013-14'!AZ23*100</f>
        <v>0</v>
      </c>
      <c r="BA23" s="6">
        <f>(' Fruits 2013-14(Final)'!BA23-'3rd Fruits 2013-14'!BA23)/'3rd Fruits 2013-14'!BA23*100</f>
        <v>0</v>
      </c>
      <c r="BB23" s="2">
        <f t="shared" si="0"/>
        <v>0</v>
      </c>
      <c r="BC23" s="2">
        <f t="shared" si="0"/>
        <v>0</v>
      </c>
    </row>
    <row r="24" spans="1:55" ht="15.75" x14ac:dyDescent="0.25">
      <c r="A24" s="5" t="s">
        <v>30</v>
      </c>
      <c r="B24" s="6"/>
      <c r="C24" s="6"/>
      <c r="D24" s="6"/>
      <c r="E24" s="6"/>
      <c r="F24" s="6"/>
      <c r="G24" s="6"/>
      <c r="H24" s="6"/>
      <c r="I24" s="6"/>
      <c r="J24" s="6">
        <f>(' Fruits 2013-14(Final)'!J24-'3rd Fruits 2013-14'!J24)/'3rd Fruits 2013-14'!J24*100</f>
        <v>0</v>
      </c>
      <c r="K24" s="6">
        <f>(' Fruits 2013-14(Final)'!K24-'3rd Fruits 2013-14'!K24)/'3rd Fruits 2013-14'!K24*100</f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f>(' Fruits 2013-14(Final)'!AB24-'3rd Fruits 2013-14'!AB24)/'3rd Fruits 2013-14'!AB24*100</f>
        <v>0</v>
      </c>
      <c r="AC24" s="6">
        <f>(' Fruits 2013-14(Final)'!AC24-'3rd Fruits 2013-14'!AC24)/'3rd Fruits 2013-14'!AC24*100</f>
        <v>0</v>
      </c>
      <c r="AD24" s="6"/>
      <c r="AE24" s="6"/>
      <c r="AF24" s="6">
        <f>(' Fruits 2013-14(Final)'!AF24-'3rd Fruits 2013-14'!AF24)/'3rd Fruits 2013-14'!AF24*100</f>
        <v>0</v>
      </c>
      <c r="AG24" s="6">
        <f>(' Fruits 2013-14(Final)'!AG24-'3rd Fruits 2013-14'!AG24)/'3rd Fruits 2013-14'!AG24*100</f>
        <v>0</v>
      </c>
      <c r="AH24" s="6"/>
      <c r="AI24" s="6"/>
      <c r="AJ24" s="6"/>
      <c r="AK24" s="6"/>
      <c r="AL24" s="6"/>
      <c r="AM24" s="6"/>
      <c r="AN24" s="6">
        <f>(' Fruits 2013-14(Final)'!AN24-'3rd Fruits 2013-14'!AN24)/'3rd Fruits 2013-14'!AN24*100</f>
        <v>0</v>
      </c>
      <c r="AO24" s="6">
        <f>(' Fruits 2013-14(Final)'!AO24-'3rd Fruits 2013-14'!AO24)/'3rd Fruits 2013-14'!AO24*100</f>
        <v>0</v>
      </c>
      <c r="AP24" s="6"/>
      <c r="AQ24" s="6"/>
      <c r="AR24" s="6"/>
      <c r="AS24" s="6"/>
      <c r="AT24" s="6"/>
      <c r="AU24" s="6"/>
      <c r="AV24" s="6">
        <f>(' Fruits 2013-14(Final)'!AV24-'3rd Fruits 2013-14'!AV24)/'3rd Fruits 2013-14'!AV24*100</f>
        <v>6.1855670103092697</v>
      </c>
      <c r="AW24" s="6">
        <f>(' Fruits 2013-14(Final)'!AW24-'3rd Fruits 2013-14'!AW24)/'3rd Fruits 2013-14'!AW24*100</f>
        <v>-29.118773946360154</v>
      </c>
      <c r="AX24" s="6"/>
      <c r="AY24" s="6"/>
      <c r="AZ24" s="6">
        <f>(' Fruits 2013-14(Final)'!AZ24-'3rd Fruits 2013-14'!AZ24)/'3rd Fruits 2013-14'!AZ24*100</f>
        <v>0</v>
      </c>
      <c r="BA24" s="6">
        <f>(' Fruits 2013-14(Final)'!BA24-'3rd Fruits 2013-14'!BA24)/'3rd Fruits 2013-14'!BA24*100</f>
        <v>0</v>
      </c>
      <c r="BB24" s="2">
        <f t="shared" si="0"/>
        <v>6.1855670103092697</v>
      </c>
      <c r="BC24" s="2">
        <f t="shared" si="0"/>
        <v>-29.118773946360154</v>
      </c>
    </row>
    <row r="25" spans="1:55" ht="15.75" x14ac:dyDescent="0.25">
      <c r="A25" s="5" t="s">
        <v>31</v>
      </c>
      <c r="B25" s="6"/>
      <c r="C25" s="6"/>
      <c r="D25" s="6">
        <f>(' Fruits 2013-14(Final)'!D25-'3rd Fruits 2013-14'!D25)/'3rd Fruits 2013-14'!D25*100</f>
        <v>0</v>
      </c>
      <c r="E25" s="6">
        <f>(' Fruits 2013-14(Final)'!E25-'3rd Fruits 2013-14'!E25)/'3rd Fruits 2013-14'!E25*100</f>
        <v>0</v>
      </c>
      <c r="F25" s="6"/>
      <c r="G25" s="6"/>
      <c r="H25" s="6"/>
      <c r="I25" s="6"/>
      <c r="J25" s="6">
        <f>(' Fruits 2013-14(Final)'!J25-'3rd Fruits 2013-14'!J25)/'3rd Fruits 2013-14'!J25*100</f>
        <v>0</v>
      </c>
      <c r="K25" s="6">
        <f>(' Fruits 2013-14(Final)'!K25-'3rd Fruits 2013-14'!K25)/'3rd Fruits 2013-14'!K25*100</f>
        <v>0</v>
      </c>
      <c r="L25" s="6"/>
      <c r="M25" s="6"/>
      <c r="N25" s="6">
        <f>(' Fruits 2013-14(Final)'!N25-'3rd Fruits 2013-14'!N25)/'3rd Fruits 2013-14'!N25*100</f>
        <v>0</v>
      </c>
      <c r="O25" s="6">
        <f>(' Fruits 2013-14(Final)'!O25-'3rd Fruits 2013-14'!O25)/'3rd Fruits 2013-14'!O25*100</f>
        <v>-50</v>
      </c>
      <c r="P25" s="6">
        <f>(' Fruits 2013-14(Final)'!P25-'3rd Fruits 2013-14'!P25)/'3rd Fruits 2013-14'!P25*100</f>
        <v>-8.6502609992542787</v>
      </c>
      <c r="Q25" s="6">
        <f>(' Fruits 2013-14(Final)'!Q25-'3rd Fruits 2013-14'!Q25)/'3rd Fruits 2013-14'!Q25*100</f>
        <v>0</v>
      </c>
      <c r="R25" s="6">
        <f>(' Fruits 2013-14(Final)'!R25-'3rd Fruits 2013-14'!R25)/'3rd Fruits 2013-14'!R25*100</f>
        <v>-2.3809523809523832</v>
      </c>
      <c r="S25" s="6">
        <f>(' Fruits 2013-14(Final)'!S25-'3rd Fruits 2013-14'!S25)/'3rd Fruits 2013-14'!S25*100</f>
        <v>-4.5801526717557293</v>
      </c>
      <c r="T25" s="6">
        <f>(' Fruits 2013-14(Final)'!T25-'3rd Fruits 2013-14'!T25)/'3rd Fruits 2013-14'!T25*100</f>
        <v>-28.571428571428577</v>
      </c>
      <c r="U25" s="6">
        <f>(' Fruits 2013-14(Final)'!U25-'3rd Fruits 2013-14'!U25)/'3rd Fruits 2013-14'!U25*100</f>
        <v>-13.793103448275859</v>
      </c>
      <c r="V25" s="6">
        <f>(' Fruits 2013-14(Final)'!V25-'3rd Fruits 2013-14'!V25)/'3rd Fruits 2013-14'!V25*100</f>
        <v>0</v>
      </c>
      <c r="W25" s="6">
        <f>(' Fruits 2013-14(Final)'!W25-'3rd Fruits 2013-14'!W25)/'3rd Fruits 2013-14'!W25*100</f>
        <v>0</v>
      </c>
      <c r="X25" s="6">
        <f>(' Fruits 2013-14(Final)'!X25-'3rd Fruits 2013-14'!X25)/'3rd Fruits 2013-14'!X25*100</f>
        <v>0</v>
      </c>
      <c r="Y25" s="6">
        <f>(' Fruits 2013-14(Final)'!Y25-'3rd Fruits 2013-14'!Y25)/'3rd Fruits 2013-14'!Y25*100</f>
        <v>0</v>
      </c>
      <c r="Z25" s="6">
        <f>(' Fruits 2013-14(Final)'!Z25-'3rd Fruits 2013-14'!Z25)/'3rd Fruits 2013-14'!Z25*100</f>
        <v>0</v>
      </c>
      <c r="AA25" s="6">
        <f>(' Fruits 2013-14(Final)'!AA25-'3rd Fruits 2013-14'!AA25)/'3rd Fruits 2013-14'!AA25*100</f>
        <v>0</v>
      </c>
      <c r="AB25" s="6">
        <f>(' Fruits 2013-14(Final)'!AB25-'3rd Fruits 2013-14'!AB25)/'3rd Fruits 2013-14'!AB25*100</f>
        <v>0</v>
      </c>
      <c r="AC25" s="6">
        <f>(' Fruits 2013-14(Final)'!AC25-'3rd Fruits 2013-14'!AC25)/'3rd Fruits 2013-14'!AC25*100</f>
        <v>0</v>
      </c>
      <c r="AD25" s="6">
        <f>(' Fruits 2013-14(Final)'!AD25-'3rd Fruits 2013-14'!AD25)/'3rd Fruits 2013-14'!AD25*100</f>
        <v>0</v>
      </c>
      <c r="AE25" s="6">
        <f>(' Fruits 2013-14(Final)'!AE25-'3rd Fruits 2013-14'!AE25)/'3rd Fruits 2013-14'!AE25*100</f>
        <v>0</v>
      </c>
      <c r="AF25" s="6">
        <f>(' Fruits 2013-14(Final)'!AF25-'3rd Fruits 2013-14'!AF25)/'3rd Fruits 2013-14'!AF25*100</f>
        <v>-0.31710797526557116</v>
      </c>
      <c r="AG25" s="6">
        <f>(' Fruits 2013-14(Final)'!AG25-'3rd Fruits 2013-14'!AG25)/'3rd Fruits 2013-14'!AG25*100</f>
        <v>0</v>
      </c>
      <c r="AH25" s="6">
        <f>(' Fruits 2013-14(Final)'!AH25-'3rd Fruits 2013-14'!AH25)/'3rd Fruits 2013-14'!AH25*100</f>
        <v>0</v>
      </c>
      <c r="AI25" s="6">
        <f>(' Fruits 2013-14(Final)'!AI25-'3rd Fruits 2013-14'!AI25)/'3rd Fruits 2013-14'!AI25*100</f>
        <v>0</v>
      </c>
      <c r="AJ25" s="6"/>
      <c r="AK25" s="6"/>
      <c r="AL25" s="6"/>
      <c r="AM25" s="6"/>
      <c r="AN25" s="6">
        <f>(' Fruits 2013-14(Final)'!AN25-'3rd Fruits 2013-14'!AN25)/'3rd Fruits 2013-14'!AN25*100</f>
        <v>0</v>
      </c>
      <c r="AO25" s="6">
        <f>(' Fruits 2013-14(Final)'!AO25-'3rd Fruits 2013-14'!AO25)/'3rd Fruits 2013-14'!AO25*100</f>
        <v>0</v>
      </c>
      <c r="AP25" s="6">
        <f>(' Fruits 2013-14(Final)'!AP25-'3rd Fruits 2013-14'!AP25)/'3rd Fruits 2013-14'!AP25*100</f>
        <v>0</v>
      </c>
      <c r="AQ25" s="6">
        <f>(' Fruits 2013-14(Final)'!AQ25-'3rd Fruits 2013-14'!AQ25)/'3rd Fruits 2013-14'!AQ25*100</f>
        <v>0</v>
      </c>
      <c r="AR25" s="6">
        <f>(' Fruits 2013-14(Final)'!AR25-'3rd Fruits 2013-14'!AR25)/'3rd Fruits 2013-14'!AR25*100</f>
        <v>0</v>
      </c>
      <c r="AS25" s="6">
        <f>(' Fruits 2013-14(Final)'!AS25-'3rd Fruits 2013-14'!AS25)/'3rd Fruits 2013-14'!AS25*100</f>
        <v>-33.333333333333329</v>
      </c>
      <c r="AT25" s="6">
        <f>(' Fruits 2013-14(Final)'!AT25-'3rd Fruits 2013-14'!AT25)/'3rd Fruits 2013-14'!AT25*100</f>
        <v>0</v>
      </c>
      <c r="AU25" s="6">
        <f>(' Fruits 2013-14(Final)'!AU25-'3rd Fruits 2013-14'!AU25)/'3rd Fruits 2013-14'!AU25*100</f>
        <v>-33.333333333333329</v>
      </c>
      <c r="AV25" s="6"/>
      <c r="AW25" s="6"/>
      <c r="AX25" s="6"/>
      <c r="AY25" s="6"/>
      <c r="AZ25" s="6">
        <f>(' Fruits 2013-14(Final)'!AZ25-'3rd Fruits 2013-14'!AZ25)/'3rd Fruits 2013-14'!AZ25*100</f>
        <v>-1.8635855385768431E-2</v>
      </c>
      <c r="BA25" s="6">
        <f>(' Fruits 2013-14(Final)'!BA25-'3rd Fruits 2013-14'!BA25)/'3rd Fruits 2013-14'!BA25*100</f>
        <v>-3.3062223103886672E-2</v>
      </c>
      <c r="BB25" s="2">
        <f t="shared" si="0"/>
        <v>-39.938385782286574</v>
      </c>
      <c r="BC25" s="2">
        <f t="shared" si="0"/>
        <v>-135.07298500980212</v>
      </c>
    </row>
    <row r="26" spans="1:55" ht="15.75" x14ac:dyDescent="0.25">
      <c r="A26" s="7" t="s">
        <v>32</v>
      </c>
      <c r="B26" s="6"/>
      <c r="C26" s="6"/>
      <c r="D26" s="6">
        <f>(' Fruits 2013-14(Final)'!D26-'3rd Fruits 2013-14'!D26)/'3rd Fruits 2013-14'!D26*100</f>
        <v>6.0000000000000053</v>
      </c>
      <c r="E26" s="6">
        <f>(' Fruits 2013-14(Final)'!E26-'3rd Fruits 2013-14'!E26)/'3rd Fruits 2013-14'!E26*100</f>
        <v>5.8181818181818228</v>
      </c>
      <c r="F26" s="6">
        <f>(' Fruits 2013-14(Final)'!F26-'3rd Fruits 2013-14'!F26)/'3rd Fruits 2013-14'!F26*100</f>
        <v>4.9999999999999902</v>
      </c>
      <c r="G26" s="6">
        <f>(' Fruits 2013-14(Final)'!G26-'3rd Fruits 2013-14'!G26)/'3rd Fruits 2013-14'!G26*100</f>
        <v>-3.0769230769230798</v>
      </c>
      <c r="H26" s="6"/>
      <c r="I26" s="6"/>
      <c r="J26" s="6">
        <f>(' Fruits 2013-14(Final)'!J26-'3rd Fruits 2013-14'!J26)/'3rd Fruits 2013-14'!J26*100</f>
        <v>0.27397260273973234</v>
      </c>
      <c r="K26" s="6">
        <f>(' Fruits 2013-14(Final)'!K26-'3rd Fruits 2013-14'!K26)/'3rd Fruits 2013-14'!K26*100</f>
        <v>17.307692307692314</v>
      </c>
      <c r="L26" s="6">
        <f>(' Fruits 2013-14(Final)'!L26-'3rd Fruits 2013-14'!L26)/'3rd Fruits 2013-14'!L26*100</f>
        <v>6.6666666666666732</v>
      </c>
      <c r="M26" s="6">
        <f>(' Fruits 2013-14(Final)'!M26-'3rd Fruits 2013-14'!M26)/'3rd Fruits 2013-14'!M26*100</f>
        <v>2.0833333333333353</v>
      </c>
      <c r="N26" s="6"/>
      <c r="O26" s="6"/>
      <c r="P26" s="6">
        <f>(' Fruits 2013-14(Final)'!P26-'3rd Fruits 2013-14'!P26)/'3rd Fruits 2013-14'!P26*100</f>
        <v>-5.0000000000000044</v>
      </c>
      <c r="Q26" s="6">
        <f>(' Fruits 2013-14(Final)'!Q26-'3rd Fruits 2013-14'!Q26)/'3rd Fruits 2013-14'!Q26*100</f>
        <v>-5.0000000000000044</v>
      </c>
      <c r="R26" s="6">
        <f>(' Fruits 2013-14(Final)'!R26-'3rd Fruits 2013-14'!R26)/'3rd Fruits 2013-14'!R26*100</f>
        <v>4.0000000000000036</v>
      </c>
      <c r="S26" s="6">
        <f>(' Fruits 2013-14(Final)'!S26-'3rd Fruits 2013-14'!S26)/'3rd Fruits 2013-14'!S26*100</f>
        <v>4.0000000000000036</v>
      </c>
      <c r="T26" s="6">
        <f>(' Fruits 2013-14(Final)'!T26-'3rd Fruits 2013-14'!T26)/'3rd Fruits 2013-14'!T26*100</f>
        <v>6.6666666666666732</v>
      </c>
      <c r="U26" s="6">
        <f>(' Fruits 2013-14(Final)'!U26-'3rd Fruits 2013-14'!U26)/'3rd Fruits 2013-14'!U26*100</f>
        <v>6.6666666666666599</v>
      </c>
      <c r="V26" s="6">
        <f>(' Fruits 2013-14(Final)'!V26-'3rd Fruits 2013-14'!V26)/'3rd Fruits 2013-14'!V26*100</f>
        <v>0</v>
      </c>
      <c r="W26" s="6">
        <f>(' Fruits 2013-14(Final)'!W26-'3rd Fruits 2013-14'!W26)/'3rd Fruits 2013-14'!W26*100</f>
        <v>0</v>
      </c>
      <c r="X26" s="6">
        <f>(' Fruits 2013-14(Final)'!X26-'3rd Fruits 2013-14'!X26)/'3rd Fruits 2013-14'!X26*100</f>
        <v>2.2222222222222241</v>
      </c>
      <c r="Y26" s="6">
        <f>(' Fruits 2013-14(Final)'!Y26-'3rd Fruits 2013-14'!Y26)/'3rd Fruits 2013-14'!Y26*100</f>
        <v>15.000000000000014</v>
      </c>
      <c r="Z26" s="6">
        <f>(' Fruits 2013-14(Final)'!Z26-'3rd Fruits 2013-14'!Z26)/'3rd Fruits 2013-14'!Z26*100</f>
        <v>2.0000000000000018</v>
      </c>
      <c r="AA26" s="6">
        <f>(' Fruits 2013-14(Final)'!AA26-'3rd Fruits 2013-14'!AA26)/'3rd Fruits 2013-14'!AA26*100</f>
        <v>-10.750000000000004</v>
      </c>
      <c r="AB26" s="6">
        <f>(' Fruits 2013-14(Final)'!AB26-'3rd Fruits 2013-14'!AB26)/'3rd Fruits 2013-14'!AB26*100</f>
        <v>0.74074074074074137</v>
      </c>
      <c r="AC26" s="6">
        <f>(' Fruits 2013-14(Final)'!AC26-'3rd Fruits 2013-14'!AC26)/'3rd Fruits 2013-14'!AC26*100</f>
        <v>20.888888888888889</v>
      </c>
      <c r="AD26" s="6">
        <f>(' Fruits 2013-14(Final)'!AD26-'3rd Fruits 2013-14'!AD26)/'3rd Fruits 2013-14'!AD26*100</f>
        <v>0</v>
      </c>
      <c r="AE26" s="6">
        <f>(' Fruits 2013-14(Final)'!AE26-'3rd Fruits 2013-14'!AE26)/'3rd Fruits 2013-14'!AE26*100</f>
        <v>6.25</v>
      </c>
      <c r="AF26" s="6">
        <f>(' Fruits 2013-14(Final)'!AF26-'3rd Fruits 2013-14'!AF26)/'3rd Fruits 2013-14'!AF26*100</f>
        <v>10.180412371134009</v>
      </c>
      <c r="AG26" s="6">
        <f>(' Fruits 2013-14(Final)'!AG26-'3rd Fruits 2013-14'!AG26)/'3rd Fruits 2013-14'!AG26*100</f>
        <v>9.2831962397179897</v>
      </c>
      <c r="AH26" s="6">
        <f>(' Fruits 2013-14(Final)'!AH26-'3rd Fruits 2013-14'!AH26)/'3rd Fruits 2013-14'!AH26*100</f>
        <v>-2.8571428571428439</v>
      </c>
      <c r="AI26" s="6">
        <f>(' Fruits 2013-14(Final)'!AI26-'3rd Fruits 2013-14'!AI26)/'3rd Fruits 2013-14'!AI26*100</f>
        <v>-2.8571428571428439</v>
      </c>
      <c r="AJ26" s="6">
        <f>(' Fruits 2013-14(Final)'!AJ26-'3rd Fruits 2013-14'!AJ26)/'3rd Fruits 2013-14'!AJ26*100</f>
        <v>3.3333333333333366</v>
      </c>
      <c r="AK26" s="6">
        <f>(' Fruits 2013-14(Final)'!AK26-'3rd Fruits 2013-14'!AK26)/'3rd Fruits 2013-14'!AK26*100</f>
        <v>3.3333333333333361</v>
      </c>
      <c r="AL26" s="6"/>
      <c r="AM26" s="6"/>
      <c r="AN26" s="6">
        <f>(' Fruits 2013-14(Final)'!AN26-'3rd Fruits 2013-14'!AN26)/'3rd Fruits 2013-14'!AN26*100</f>
        <v>1.0638297872340388</v>
      </c>
      <c r="AO26" s="6">
        <f>(' Fruits 2013-14(Final)'!AO26-'3rd Fruits 2013-14'!AO26)/'3rd Fruits 2013-14'!AO26*100</f>
        <v>1.0638297872340425</v>
      </c>
      <c r="AP26" s="6">
        <f>(' Fruits 2013-14(Final)'!AP26-'3rd Fruits 2013-14'!AP26)/'3rd Fruits 2013-14'!AP26*100</f>
        <v>2.2222222222222241</v>
      </c>
      <c r="AQ26" s="6">
        <f>(' Fruits 2013-14(Final)'!AQ26-'3rd Fruits 2013-14'!AQ26)/'3rd Fruits 2013-14'!AQ26*100</f>
        <v>0.62500000000000056</v>
      </c>
      <c r="AR26" s="6">
        <f>(' Fruits 2013-14(Final)'!AR26-'3rd Fruits 2013-14'!AR26)/'3rd Fruits 2013-14'!AR26*100</f>
        <v>0</v>
      </c>
      <c r="AS26" s="6">
        <f>(' Fruits 2013-14(Final)'!AS26-'3rd Fruits 2013-14'!AS26)/'3rd Fruits 2013-14'!AS26*100</f>
        <v>1.3888888888888902</v>
      </c>
      <c r="AT26" s="6"/>
      <c r="AU26" s="6"/>
      <c r="AV26" s="6"/>
      <c r="AW26" s="6"/>
      <c r="AX26" s="6"/>
      <c r="AY26" s="6"/>
      <c r="AZ26" s="6">
        <f>(' Fruits 2013-14(Final)'!AZ26-'3rd Fruits 2013-14'!AZ26)/'3rd Fruits 2013-14'!AZ26*100</f>
        <v>-27.906976744186039</v>
      </c>
      <c r="BA26" s="6">
        <f>(' Fruits 2013-14(Final)'!BA26-'3rd Fruits 2013-14'!BA26)/'3rd Fruits 2013-14'!BA26*100</f>
        <v>78.160919540229898</v>
      </c>
      <c r="BB26" s="2">
        <f t="shared" si="0"/>
        <v>14.605947011630768</v>
      </c>
      <c r="BC26" s="2">
        <f t="shared" si="0"/>
        <v>150.18586487010128</v>
      </c>
    </row>
    <row r="27" spans="1:55" ht="15.75" x14ac:dyDescent="0.25">
      <c r="A27" s="5" t="s">
        <v>189</v>
      </c>
      <c r="B27" s="6"/>
      <c r="C27" s="6"/>
      <c r="D27" s="6">
        <f>(' Fruits 2013-14(Final)'!D27-'3rd Fruits 2013-14'!D27)/'3rd Fruits 2013-14'!D27*100</f>
        <v>0</v>
      </c>
      <c r="E27" s="6">
        <f>(' Fruits 2013-14(Final)'!E27-'3rd Fruits 2013-14'!E27)/'3rd Fruits 2013-14'!E27*100</f>
        <v>0</v>
      </c>
      <c r="F27" s="6"/>
      <c r="G27" s="6"/>
      <c r="H27" s="6"/>
      <c r="I27" s="6"/>
      <c r="J27" s="6">
        <f>(' Fruits 2013-14(Final)'!J27-'3rd Fruits 2013-14'!J27)/'3rd Fruits 2013-14'!J27*100</f>
        <v>0</v>
      </c>
      <c r="K27" s="6">
        <f>(' Fruits 2013-14(Final)'!K27-'3rd Fruits 2013-14'!K27)/'3rd Fruits 2013-14'!K27*100</f>
        <v>0</v>
      </c>
      <c r="L27" s="6"/>
      <c r="M27" s="6"/>
      <c r="N27" s="6"/>
      <c r="O27" s="6"/>
      <c r="P27" s="6"/>
      <c r="Q27" s="6"/>
      <c r="R27" s="6">
        <f>(' Fruits 2013-14(Final)'!R27-'3rd Fruits 2013-14'!R27)/'3rd Fruits 2013-14'!R27*100</f>
        <v>0</v>
      </c>
      <c r="S27" s="6">
        <f>(' Fruits 2013-14(Final)'!S27-'3rd Fruits 2013-14'!S27)/'3rd Fruits 2013-14'!S27*100</f>
        <v>0</v>
      </c>
      <c r="T27" s="6"/>
      <c r="U27" s="6"/>
      <c r="V27" s="6"/>
      <c r="W27" s="6"/>
      <c r="X27" s="6">
        <f>(' Fruits 2013-14(Final)'!X27-'3rd Fruits 2013-14'!X27)/'3rd Fruits 2013-14'!X27*100</f>
        <v>0</v>
      </c>
      <c r="Y27" s="6">
        <f>(' Fruits 2013-14(Final)'!Y27-'3rd Fruits 2013-14'!Y27)/'3rd Fruits 2013-14'!Y27*100</f>
        <v>0</v>
      </c>
      <c r="Z27" s="6">
        <f>(' Fruits 2013-14(Final)'!Z27-'3rd Fruits 2013-14'!Z27)/'3rd Fruits 2013-14'!Z27*100</f>
        <v>0</v>
      </c>
      <c r="AA27" s="6">
        <f>(' Fruits 2013-14(Final)'!AA27-'3rd Fruits 2013-14'!AA27)/'3rd Fruits 2013-14'!AA27*100</f>
        <v>0</v>
      </c>
      <c r="AB27" s="6">
        <f>(' Fruits 2013-14(Final)'!AB27-'3rd Fruits 2013-14'!AB27)/'3rd Fruits 2013-14'!AB27*100</f>
        <v>0</v>
      </c>
      <c r="AC27" s="6">
        <f>(' Fruits 2013-14(Final)'!AC27-'3rd Fruits 2013-14'!AC27)/'3rd Fruits 2013-14'!AC27*100</f>
        <v>0</v>
      </c>
      <c r="AD27" s="6"/>
      <c r="AE27" s="6"/>
      <c r="AF27" s="6">
        <f>(' Fruits 2013-14(Final)'!AF27-'3rd Fruits 2013-14'!AF27)/'3rd Fruits 2013-14'!AF27*100</f>
        <v>0</v>
      </c>
      <c r="AG27" s="6">
        <f>(' Fruits 2013-14(Final)'!AG27-'3rd Fruits 2013-14'!AG27)/'3rd Fruits 2013-14'!AG27*100</f>
        <v>0</v>
      </c>
      <c r="AH27" s="6"/>
      <c r="AI27" s="6"/>
      <c r="AJ27" s="6"/>
      <c r="AK27" s="6"/>
      <c r="AL27" s="6"/>
      <c r="AM27" s="6"/>
      <c r="AN27" s="6">
        <f>(' Fruits 2013-14(Final)'!AN27-'3rd Fruits 2013-14'!AN27)/'3rd Fruits 2013-14'!AN27*100</f>
        <v>0</v>
      </c>
      <c r="AO27" s="6">
        <f>(' Fruits 2013-14(Final)'!AO27-'3rd Fruits 2013-14'!AO27)/'3rd Fruits 2013-14'!AO27*100</f>
        <v>0</v>
      </c>
      <c r="AP27" s="6"/>
      <c r="AQ27" s="6"/>
      <c r="AR27" s="6">
        <f>(' Fruits 2013-14(Final)'!AR27-'3rd Fruits 2013-14'!AR27)/'3rd Fruits 2013-14'!AR27*100</f>
        <v>0</v>
      </c>
      <c r="AS27" s="6">
        <f>(' Fruits 2013-14(Final)'!AS27-'3rd Fruits 2013-14'!AS27)/'3rd Fruits 2013-14'!AS27*100</f>
        <v>0</v>
      </c>
      <c r="AT27" s="6">
        <f>(' Fruits 2013-14(Final)'!AT27-'3rd Fruits 2013-14'!AT27)/'3rd Fruits 2013-14'!AT27*100</f>
        <v>0</v>
      </c>
      <c r="AU27" s="6">
        <f>(' Fruits 2013-14(Final)'!AU27-'3rd Fruits 2013-14'!AU27)/'3rd Fruits 2013-14'!AU27*100</f>
        <v>0</v>
      </c>
      <c r="AV27" s="6"/>
      <c r="AW27" s="6"/>
      <c r="AX27" s="6"/>
      <c r="AY27" s="6"/>
      <c r="AZ27" s="6">
        <f>(' Fruits 2013-14(Final)'!AZ27-'3rd Fruits 2013-14'!AZ27)/'3rd Fruits 2013-14'!AZ27*100</f>
        <v>0</v>
      </c>
      <c r="BA27" s="6">
        <f>(' Fruits 2013-14(Final)'!BA27-'3rd Fruits 2013-14'!BA27)/'3rd Fruits 2013-14'!BA27*100</f>
        <v>0</v>
      </c>
      <c r="BB27" s="2">
        <f t="shared" si="0"/>
        <v>0</v>
      </c>
      <c r="BC27" s="2">
        <f t="shared" si="0"/>
        <v>0</v>
      </c>
    </row>
    <row r="28" spans="1:55" ht="15.75" x14ac:dyDescent="0.25">
      <c r="A28" s="7" t="s">
        <v>167</v>
      </c>
      <c r="B28" s="6"/>
      <c r="C28" s="6"/>
      <c r="D28" s="6">
        <f>(' Fruits 2013-14(Final)'!D28-'3rd Fruits 2013-14'!D28)/'3rd Fruits 2013-14'!D28*100</f>
        <v>0</v>
      </c>
      <c r="E28" s="6">
        <f>(' Fruits 2013-14(Final)'!E28-'3rd Fruits 2013-14'!E28)/'3rd Fruits 2013-14'!E28*100</f>
        <v>0</v>
      </c>
      <c r="F28" s="6"/>
      <c r="G28" s="6"/>
      <c r="H28" s="6"/>
      <c r="I28" s="6"/>
      <c r="J28" s="6">
        <f>(' Fruits 2013-14(Final)'!J28-'3rd Fruits 2013-14'!J28)/'3rd Fruits 2013-14'!J28*100</f>
        <v>0</v>
      </c>
      <c r="K28" s="6">
        <f>(' Fruits 2013-14(Final)'!K28-'3rd Fruits 2013-14'!K28)/'3rd Fruits 2013-14'!K28*100</f>
        <v>0</v>
      </c>
      <c r="L28" s="6"/>
      <c r="M28" s="6"/>
      <c r="N28" s="6"/>
      <c r="O28" s="6"/>
      <c r="P28" s="6"/>
      <c r="Q28" s="6"/>
      <c r="R28" s="6">
        <f>(' Fruits 2013-14(Final)'!R28-'3rd Fruits 2013-14'!R28)/'3rd Fruits 2013-14'!R28*100</f>
        <v>0</v>
      </c>
      <c r="S28" s="6">
        <f>(' Fruits 2013-14(Final)'!S28-'3rd Fruits 2013-14'!S28)/'3rd Fruits 2013-14'!S28*100</f>
        <v>0</v>
      </c>
      <c r="T28" s="6">
        <f>(' Fruits 2013-14(Final)'!T28-'3rd Fruits 2013-14'!T28)/'3rd Fruits 2013-14'!T28*100</f>
        <v>0</v>
      </c>
      <c r="U28" s="6">
        <f>(' Fruits 2013-14(Final)'!U28-'3rd Fruits 2013-14'!U28)/'3rd Fruits 2013-14'!U28*100</f>
        <v>0</v>
      </c>
      <c r="V28" s="6"/>
      <c r="W28" s="6"/>
      <c r="X28" s="6"/>
      <c r="Y28" s="6"/>
      <c r="Z28" s="6">
        <f>(' Fruits 2013-14(Final)'!Z28-'3rd Fruits 2013-14'!Z28)/'3rd Fruits 2013-14'!Z28*100</f>
        <v>0</v>
      </c>
      <c r="AA28" s="6">
        <f>(' Fruits 2013-14(Final)'!AA28-'3rd Fruits 2013-14'!AA28)/'3rd Fruits 2013-14'!AA28*100</f>
        <v>0</v>
      </c>
      <c r="AB28" s="6"/>
      <c r="AC28" s="6"/>
      <c r="AD28" s="6"/>
      <c r="AE28" s="6"/>
      <c r="AF28" s="6">
        <f>(' Fruits 2013-14(Final)'!AF28-'3rd Fruits 2013-14'!AF28)/'3rd Fruits 2013-14'!AF28*100</f>
        <v>0</v>
      </c>
      <c r="AG28" s="6">
        <f>(' Fruits 2013-14(Final)'!AG28-'3rd Fruits 2013-14'!AG28)/'3rd Fruits 2013-14'!AG28*100</f>
        <v>0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>
        <f>(' Fruits 2013-14(Final)'!AT28-'3rd Fruits 2013-14'!AT28)/'3rd Fruits 2013-14'!AT28*100</f>
        <v>0</v>
      </c>
      <c r="AU28" s="6">
        <f>(' Fruits 2013-14(Final)'!AU28-'3rd Fruits 2013-14'!AU28)/'3rd Fruits 2013-14'!AU28*100</f>
        <v>0</v>
      </c>
      <c r="AV28" s="6"/>
      <c r="AW28" s="6"/>
      <c r="AX28" s="6"/>
      <c r="AY28" s="6"/>
      <c r="AZ28" s="6">
        <f>(' Fruits 2013-14(Final)'!AZ28-'3rd Fruits 2013-14'!AZ28)/'3rd Fruits 2013-14'!AZ28*100</f>
        <v>0</v>
      </c>
      <c r="BA28" s="6">
        <f>(' Fruits 2013-14(Final)'!BA28-'3rd Fruits 2013-14'!BA28)/'3rd Fruits 2013-14'!BA28*100</f>
        <v>0</v>
      </c>
      <c r="BB28" s="2">
        <f t="shared" si="0"/>
        <v>0</v>
      </c>
      <c r="BC28" s="2">
        <f t="shared" si="0"/>
        <v>0</v>
      </c>
    </row>
    <row r="29" spans="1:55" ht="15.75" x14ac:dyDescent="0.25">
      <c r="A29" s="5" t="s">
        <v>33</v>
      </c>
      <c r="B29" s="6"/>
      <c r="C29" s="6"/>
      <c r="D29" s="6">
        <f>(' Fruits 2013-14(Final)'!D29-'3rd Fruits 2013-14'!D29)/'3rd Fruits 2013-14'!D29*100</f>
        <v>10.540540540540535</v>
      </c>
      <c r="E29" s="6">
        <f>(' Fruits 2013-14(Final)'!E29-'3rd Fruits 2013-14'!E29)/'3rd Fruits 2013-14'!E29*100</f>
        <v>9.4911937377690681</v>
      </c>
      <c r="F29" s="6"/>
      <c r="G29" s="6"/>
      <c r="H29" s="6"/>
      <c r="I29" s="6"/>
      <c r="J29" s="6">
        <f>(' Fruits 2013-14(Final)'!J29-'3rd Fruits 2013-14'!J29)/'3rd Fruits 2013-14'!J29*100</f>
        <v>-4.1176470588235325</v>
      </c>
      <c r="K29" s="6">
        <f>(' Fruits 2013-14(Final)'!K29-'3rd Fruits 2013-14'!K29)/'3rd Fruits 2013-14'!K29*100</f>
        <v>-6.4558232931726964</v>
      </c>
      <c r="L29" s="6">
        <f>(' Fruits 2013-14(Final)'!L29-'3rd Fruits 2013-14'!L29)/'3rd Fruits 2013-14'!L29*100</f>
        <v>-2.0652173913043494</v>
      </c>
      <c r="M29" s="6">
        <f>(' Fruits 2013-14(Final)'!M29-'3rd Fruits 2013-14'!M29)/'3rd Fruits 2013-14'!M29*100</f>
        <v>-1.1968348170128571</v>
      </c>
      <c r="N29" s="6"/>
      <c r="O29" s="6"/>
      <c r="P29" s="6">
        <f>(' Fruits 2013-14(Final)'!P29-'3rd Fruits 2013-14'!P29)/'3rd Fruits 2013-14'!P29*100</f>
        <v>-6.6666666666666723</v>
      </c>
      <c r="Q29" s="6">
        <f>(' Fruits 2013-14(Final)'!Q29-'3rd Fruits 2013-14'!Q29)/'3rd Fruits 2013-14'!Q29*100</f>
        <v>-5.7647058823529367</v>
      </c>
      <c r="R29" s="6">
        <f>(' Fruits 2013-14(Final)'!R29-'3rd Fruits 2013-14'!R29)/'3rd Fruits 2013-14'!R29*100</f>
        <v>-0.18248175182482443</v>
      </c>
      <c r="S29" s="6">
        <f>(' Fruits 2013-14(Final)'!S29-'3rd Fruits 2013-14'!S29)/'3rd Fruits 2013-14'!S29*100</f>
        <v>-9.6711798839448998E-2</v>
      </c>
      <c r="T29" s="6"/>
      <c r="U29" s="6"/>
      <c r="V29" s="6"/>
      <c r="W29" s="6"/>
      <c r="X29" s="6">
        <f>(' Fruits 2013-14(Final)'!X29-'3rd Fruits 2013-14'!X29)/'3rd Fruits 2013-14'!X29*100</f>
        <v>2.0994475138121564</v>
      </c>
      <c r="Y29" s="6">
        <f>(' Fruits 2013-14(Final)'!Y29-'3rd Fruits 2013-14'!Y29)/'3rd Fruits 2013-14'!Y29*100</f>
        <v>2.0517492711370218</v>
      </c>
      <c r="Z29" s="6">
        <f>(' Fruits 2013-14(Final)'!Z29-'3rd Fruits 2013-14'!Z29)/'3rd Fruits 2013-14'!Z29*100</f>
        <v>-0.39881831610043206</v>
      </c>
      <c r="AA29" s="6">
        <f>(' Fruits 2013-14(Final)'!AA29-'3rd Fruits 2013-14'!AA29)/'3rd Fruits 2013-14'!AA29*100</f>
        <v>-6.3173541434408981E-2</v>
      </c>
      <c r="AB29" s="6"/>
      <c r="AC29" s="6"/>
      <c r="AD29" s="6"/>
      <c r="AE29" s="6"/>
      <c r="AF29" s="6">
        <f>(' Fruits 2013-14(Final)'!AF29-'3rd Fruits 2013-14'!AF29)/'3rd Fruits 2013-14'!AF29*100</f>
        <v>-0.5168672321957003</v>
      </c>
      <c r="AG29" s="6">
        <f>(' Fruits 2013-14(Final)'!AG29-'3rd Fruits 2013-14'!AG29)/'3rd Fruits 2013-14'!AG29*100</f>
        <v>1.3936010098557907</v>
      </c>
      <c r="AH29" s="6">
        <f>(' Fruits 2013-14(Final)'!AH29-'3rd Fruits 2013-14'!AH29)/'3rd Fruits 2013-14'!AH29*100</f>
        <v>-3.0508474576271212</v>
      </c>
      <c r="AI29" s="6">
        <f>(' Fruits 2013-14(Final)'!AI29-'3rd Fruits 2013-14'!AI29)/'3rd Fruits 2013-14'!AI29*100</f>
        <v>-3.0051150895140704</v>
      </c>
      <c r="AJ29" s="6">
        <f>(' Fruits 2013-14(Final)'!AJ29-'3rd Fruits 2013-14'!AJ29)/'3rd Fruits 2013-14'!AJ29*100</f>
        <v>-3.460207612457903E-2</v>
      </c>
      <c r="AK29" s="6">
        <f>(' Fruits 2013-14(Final)'!AK29-'3rd Fruits 2013-14'!AK29)/'3rd Fruits 2013-14'!AK29*100</f>
        <v>-4.8877348403843709E-2</v>
      </c>
      <c r="AL29" s="6"/>
      <c r="AM29" s="6"/>
      <c r="AN29" s="6"/>
      <c r="AO29" s="6"/>
      <c r="AP29" s="6">
        <f>(' Fruits 2013-14(Final)'!AP29-'3rd Fruits 2013-14'!AP29)/'3rd Fruits 2013-14'!AP29*100</f>
        <v>-0.90909090909090995</v>
      </c>
      <c r="AQ29" s="6">
        <f>(' Fruits 2013-14(Final)'!AQ29-'3rd Fruits 2013-14'!AQ29)/'3rd Fruits 2013-14'!AQ29*100</f>
        <v>1.3385826771653584</v>
      </c>
      <c r="AR29" s="6"/>
      <c r="AS29" s="6"/>
      <c r="AT29" s="6"/>
      <c r="AU29" s="6"/>
      <c r="AV29" s="6"/>
      <c r="AW29" s="6"/>
      <c r="AX29" s="6"/>
      <c r="AY29" s="6"/>
      <c r="AZ29" s="6">
        <f>(' Fruits 2013-14(Final)'!AZ29-'3rd Fruits 2013-14'!AZ29)/'3rd Fruits 2013-14'!AZ29*100</f>
        <v>5.7142857142850847E-2</v>
      </c>
      <c r="BA29" s="6">
        <f>(' Fruits 2013-14(Final)'!BA29-'3rd Fruits 2013-14'!BA29)/'3rd Fruits 2013-14'!BA29*100</f>
        <v>0.57868442964196232</v>
      </c>
      <c r="BB29" s="2">
        <f t="shared" si="0"/>
        <v>-5.2451079482625786</v>
      </c>
      <c r="BC29" s="2">
        <f t="shared" si="0"/>
        <v>-1.7774306451610609</v>
      </c>
    </row>
    <row r="30" spans="1:55" ht="15.75" x14ac:dyDescent="0.25">
      <c r="A30" s="5" t="s">
        <v>201</v>
      </c>
      <c r="B30" s="6"/>
      <c r="C30" s="6"/>
      <c r="D30" s="6">
        <f>(' Fruits 2013-14(Final)'!D30-'3rd Fruits 2013-14'!D30)/'3rd Fruits 2013-14'!D30*100</f>
        <v>-64.274353876739568</v>
      </c>
      <c r="E30" s="6">
        <f>(' Fruits 2013-14(Final)'!E30-'3rd Fruits 2013-14'!E30)/'3rd Fruits 2013-14'!E30*100</f>
        <v>-77.396335583413702</v>
      </c>
      <c r="F30" s="6"/>
      <c r="G30" s="6"/>
      <c r="H30" s="6"/>
      <c r="I30" s="6"/>
      <c r="J30" s="6">
        <f>(' Fruits 2013-14(Final)'!J30-'3rd Fruits 2013-14'!J30)/'3rd Fruits 2013-14'!J30*100</f>
        <v>-41.666666666666657</v>
      </c>
      <c r="K30" s="6">
        <f>(' Fruits 2013-14(Final)'!K30-'3rd Fruits 2013-14'!K30)/'3rd Fruits 2013-14'!K30*100</f>
        <v>-33.157894736842103</v>
      </c>
      <c r="L30" s="6">
        <f>(' Fruits 2013-14(Final)'!L30-'3rd Fruits 2013-14'!L30)/'3rd Fruits 2013-14'!L30*100</f>
        <v>-66.630824372759861</v>
      </c>
      <c r="M30" s="6">
        <f>(' Fruits 2013-14(Final)'!M30-'3rd Fruits 2013-14'!M30)/'3rd Fruits 2013-14'!M30*100</f>
        <v>-61.250615460364344</v>
      </c>
      <c r="N30" s="6">
        <f>(' Fruits 2013-14(Final)'!N30-'3rd Fruits 2013-14'!N30)/'3rd Fruits 2013-14'!N30*100</f>
        <v>-12.727272727272737</v>
      </c>
      <c r="O30" s="6">
        <f>(' Fruits 2013-14(Final)'!O30-'3rd Fruits 2013-14'!O30)/'3rd Fruits 2013-14'!O30*100</f>
        <v>43.037974683544306</v>
      </c>
      <c r="P30" s="6"/>
      <c r="Q30" s="6"/>
      <c r="R30" s="6">
        <f>(' Fruits 2013-14(Final)'!R30-'3rd Fruits 2013-14'!R30)/'3rd Fruits 2013-14'!R30*100</f>
        <v>-59.375</v>
      </c>
      <c r="S30" s="6">
        <f>(' Fruits 2013-14(Final)'!S30-'3rd Fruits 2013-14'!S30)/'3rd Fruits 2013-14'!S30*100</f>
        <v>-68.338477366255134</v>
      </c>
      <c r="T30" s="6"/>
      <c r="U30" s="6"/>
      <c r="V30" s="6"/>
      <c r="W30" s="6"/>
      <c r="X30" s="6"/>
      <c r="Y30" s="6"/>
      <c r="Z30" s="6">
        <f>(' Fruits 2013-14(Final)'!Z30-'3rd Fruits 2013-14'!Z30)/'3rd Fruits 2013-14'!Z30*100</f>
        <v>-9.5322580645161317</v>
      </c>
      <c r="AA30" s="6">
        <f>(' Fruits 2013-14(Final)'!AA30-'3rd Fruits 2013-14'!AA30)/'3rd Fruits 2013-14'!AA30*100</f>
        <v>8.0898268398268449</v>
      </c>
      <c r="AB30" s="6">
        <f>(' Fruits 2013-14(Final)'!AB30-'3rd Fruits 2013-14'!AB30)/'3rd Fruits 2013-14'!AB30*100</f>
        <v>-46.63636363636364</v>
      </c>
      <c r="AC30" s="6">
        <f>(' Fruits 2013-14(Final)'!AC30-'3rd Fruits 2013-14'!AC30)/'3rd Fruits 2013-14'!AC30*100</f>
        <v>-67.857142857142847</v>
      </c>
      <c r="AD30" s="6"/>
      <c r="AE30" s="6"/>
      <c r="AF30" s="6">
        <f>(' Fruits 2013-14(Final)'!AF30-'3rd Fruits 2013-14'!AF30)/'3rd Fruits 2013-14'!AF30*100</f>
        <v>-23.933080808080813</v>
      </c>
      <c r="AG30" s="6">
        <f>(' Fruits 2013-14(Final)'!AG30-'3rd Fruits 2013-14'!AG30)/'3rd Fruits 2013-14'!AG30*100</f>
        <v>-14.071488078708294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>
        <f>(' Fruits 2013-14(Final)'!AR30-'3rd Fruits 2013-14'!AR30)/'3rd Fruits 2013-14'!AR30*100</f>
        <v>-65.247148288973378</v>
      </c>
      <c r="AS30" s="6">
        <f>(' Fruits 2013-14(Final)'!AS30-'3rd Fruits 2013-14'!AS30)/'3rd Fruits 2013-14'!AS30*100</f>
        <v>-47.333956969130028</v>
      </c>
      <c r="AT30" s="6">
        <f>(' Fruits 2013-14(Final)'!AT30-'3rd Fruits 2013-14'!AT30)/'3rd Fruits 2013-14'!AT30*100</f>
        <v>-80</v>
      </c>
      <c r="AU30" s="6">
        <f>(' Fruits 2013-14(Final)'!AU30-'3rd Fruits 2013-14'!AU30)/'3rd Fruits 2013-14'!AU30*100</f>
        <v>-91.142857142857139</v>
      </c>
      <c r="AV30" s="6"/>
      <c r="AW30" s="6"/>
      <c r="AX30" s="6"/>
      <c r="AY30" s="6"/>
      <c r="AZ30" s="6">
        <f>(' Fruits 2013-14(Final)'!AZ30-'3rd Fruits 2013-14'!AZ30)/'3rd Fruits 2013-14'!AZ30*100</f>
        <v>-57.790697674418603</v>
      </c>
      <c r="BA30" s="6">
        <f>(' Fruits 2013-14(Final)'!BA30-'3rd Fruits 2013-14'!BA30)/'3rd Fruits 2013-14'!BA30*100</f>
        <v>8.4745762711864359</v>
      </c>
      <c r="BB30" s="2">
        <f t="shared" si="0"/>
        <v>-527.81366611579142</v>
      </c>
      <c r="BC30" s="2">
        <f t="shared" si="0"/>
        <v>-400.94639040015596</v>
      </c>
    </row>
    <row r="31" spans="1:55" ht="15.75" x14ac:dyDescent="0.25">
      <c r="A31" s="5" t="s">
        <v>35</v>
      </c>
      <c r="B31" s="6"/>
      <c r="C31" s="6"/>
      <c r="D31" s="6"/>
      <c r="E31" s="6"/>
      <c r="F31" s="6"/>
      <c r="G31" s="6">
        <f>(' Fruits 2013-14(Final)'!G31-'3rd Fruits 2013-14'!G31)/'3rd Fruits 2013-14'!G31*100</f>
        <v>0</v>
      </c>
      <c r="H31" s="6"/>
      <c r="I31" s="6"/>
      <c r="J31" s="6">
        <f>(' Fruits 2013-14(Final)'!J31-'3rd Fruits 2013-14'!J31)/'3rd Fruits 2013-14'!J31*100</f>
        <v>0</v>
      </c>
      <c r="K31" s="6">
        <f>(' Fruits 2013-14(Final)'!K31-'3rd Fruits 2013-14'!K31)/'3rd Fruits 2013-14'!K31*100</f>
        <v>0</v>
      </c>
      <c r="L31" s="6"/>
      <c r="M31" s="6"/>
      <c r="N31" s="6"/>
      <c r="O31" s="6"/>
      <c r="P31" s="6"/>
      <c r="Q31" s="6"/>
      <c r="R31" s="6">
        <f>(' Fruits 2013-14(Final)'!R31-'3rd Fruits 2013-14'!R31)/'3rd Fruits 2013-14'!R31*100</f>
        <v>0</v>
      </c>
      <c r="S31" s="6">
        <f>(' Fruits 2013-14(Final)'!S31-'3rd Fruits 2013-14'!S31)/'3rd Fruits 2013-14'!S31*100</f>
        <v>0</v>
      </c>
      <c r="T31" s="6"/>
      <c r="U31" s="6"/>
      <c r="V31" s="6">
        <f>(' Fruits 2013-14(Final)'!V31-'3rd Fruits 2013-14'!V31)/'3rd Fruits 2013-14'!V31*100</f>
        <v>0</v>
      </c>
      <c r="W31" s="6">
        <f>(' Fruits 2013-14(Final)'!W31-'3rd Fruits 2013-14'!W31)/'3rd Fruits 2013-14'!W31*100</f>
        <v>0</v>
      </c>
      <c r="X31" s="6">
        <f>(' Fruits 2013-14(Final)'!X31-'3rd Fruits 2013-14'!X31)/'3rd Fruits 2013-14'!X31*100</f>
        <v>0</v>
      </c>
      <c r="Y31" s="6">
        <f>(' Fruits 2013-14(Final)'!Y31-'3rd Fruits 2013-14'!Y31)/'3rd Fruits 2013-14'!Y31*100</f>
        <v>0</v>
      </c>
      <c r="Z31" s="6"/>
      <c r="AA31" s="6"/>
      <c r="AB31" s="6">
        <f>(' Fruits 2013-14(Final)'!AB31-'3rd Fruits 2013-14'!AB31)/'3rd Fruits 2013-14'!AB31*100</f>
        <v>0</v>
      </c>
      <c r="AC31" s="6">
        <f>(' Fruits 2013-14(Final)'!AC31-'3rd Fruits 2013-14'!AC31)/'3rd Fruits 2013-14'!AC31*100</f>
        <v>0</v>
      </c>
      <c r="AD31" s="6">
        <f>(' Fruits 2013-14(Final)'!AD31-'3rd Fruits 2013-14'!AD31)/'3rd Fruits 2013-14'!AD31*100</f>
        <v>0</v>
      </c>
      <c r="AE31" s="6">
        <f>(' Fruits 2013-14(Final)'!AE31-'3rd Fruits 2013-14'!AE31)/'3rd Fruits 2013-14'!AE31*100</f>
        <v>0</v>
      </c>
      <c r="AF31" s="6">
        <f>(' Fruits 2013-14(Final)'!AF31-'3rd Fruits 2013-14'!AF31)/'3rd Fruits 2013-14'!AF31*100</f>
        <v>0</v>
      </c>
      <c r="AG31" s="6">
        <f>(' Fruits 2013-14(Final)'!AG31-'3rd Fruits 2013-14'!AG31)/'3rd Fruits 2013-14'!AG31*100</f>
        <v>0</v>
      </c>
      <c r="AH31" s="6">
        <f>(' Fruits 2013-14(Final)'!AH31-'3rd Fruits 2013-14'!AH31)/'3rd Fruits 2013-14'!AH31*100</f>
        <v>0</v>
      </c>
      <c r="AI31" s="6">
        <f>(' Fruits 2013-14(Final)'!AI31-'3rd Fruits 2013-14'!AI31)/'3rd Fruits 2013-14'!AI31*100</f>
        <v>0</v>
      </c>
      <c r="AJ31" s="6">
        <f>(' Fruits 2013-14(Final)'!AJ31-'3rd Fruits 2013-14'!AJ31)/'3rd Fruits 2013-14'!AJ31*100</f>
        <v>0</v>
      </c>
      <c r="AK31" s="6">
        <f>(' Fruits 2013-14(Final)'!AK31-'3rd Fruits 2013-14'!AK31)/'3rd Fruits 2013-14'!AK31*100</f>
        <v>0.52287581699346453</v>
      </c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2">
        <f t="shared" si="0"/>
        <v>0</v>
      </c>
      <c r="BC31" s="2">
        <f t="shared" si="0"/>
        <v>0.52287581699346453</v>
      </c>
    </row>
    <row r="32" spans="1:55" ht="15.75" x14ac:dyDescent="0.25">
      <c r="A32" s="5" t="s">
        <v>36</v>
      </c>
      <c r="B32" s="6"/>
      <c r="C32" s="6"/>
      <c r="D32" s="6">
        <f>(' Fruits 2013-14(Final)'!D32-'3rd Fruits 2013-14'!D32)/'3rd Fruits 2013-14'!D32*100</f>
        <v>0</v>
      </c>
      <c r="E32" s="6">
        <f>(' Fruits 2013-14(Final)'!E32-'3rd Fruits 2013-14'!E32)/'3rd Fruits 2013-14'!E32*100</f>
        <v>0</v>
      </c>
      <c r="F32" s="6">
        <f>(' Fruits 2013-14(Final)'!F32-'3rd Fruits 2013-14'!F32)/'3rd Fruits 2013-14'!F32*100</f>
        <v>-50</v>
      </c>
      <c r="G32" s="6">
        <f>(' Fruits 2013-14(Final)'!G32-'3rd Fruits 2013-14'!G32)/'3rd Fruits 2013-14'!G32*100</f>
        <v>0</v>
      </c>
      <c r="H32" s="6"/>
      <c r="I32" s="6"/>
      <c r="J32" s="6">
        <f>(' Fruits 2013-14(Final)'!J32-'3rd Fruits 2013-14'!J32)/'3rd Fruits 2013-14'!J32*100</f>
        <v>0</v>
      </c>
      <c r="K32" s="6">
        <f>(' Fruits 2013-14(Final)'!K32-'3rd Fruits 2013-14'!K32)/'3rd Fruits 2013-14'!K32*100</f>
        <v>0</v>
      </c>
      <c r="L32" s="6"/>
      <c r="M32" s="6"/>
      <c r="N32" s="6"/>
      <c r="O32" s="6"/>
      <c r="P32" s="6">
        <f>(' Fruits 2013-14(Final)'!P32-'3rd Fruits 2013-14'!P32)/'3rd Fruits 2013-14'!P32*100</f>
        <v>0</v>
      </c>
      <c r="Q32" s="6">
        <f>(' Fruits 2013-14(Final)'!Q32-'3rd Fruits 2013-14'!Q32)/'3rd Fruits 2013-14'!Q32*100</f>
        <v>0</v>
      </c>
      <c r="R32" s="6">
        <f>(' Fruits 2013-14(Final)'!R32-'3rd Fruits 2013-14'!R32)/'3rd Fruits 2013-14'!R32*100</f>
        <v>0</v>
      </c>
      <c r="S32" s="6">
        <f>(' Fruits 2013-14(Final)'!S32-'3rd Fruits 2013-14'!S32)/'3rd Fruits 2013-14'!S32*100</f>
        <v>0</v>
      </c>
      <c r="T32" s="6">
        <f>(' Fruits 2013-14(Final)'!T32-'3rd Fruits 2013-14'!T32)/'3rd Fruits 2013-14'!T32*100</f>
        <v>0</v>
      </c>
      <c r="U32" s="6">
        <f>(' Fruits 2013-14(Final)'!U32-'3rd Fruits 2013-14'!U32)/'3rd Fruits 2013-14'!U32*100</f>
        <v>0</v>
      </c>
      <c r="V32" s="6"/>
      <c r="W32" s="6"/>
      <c r="X32" s="6"/>
      <c r="Y32" s="6"/>
      <c r="Z32" s="6">
        <f>(' Fruits 2013-14(Final)'!Z32-'3rd Fruits 2013-14'!Z32)/'3rd Fruits 2013-14'!Z32*100</f>
        <v>0</v>
      </c>
      <c r="AA32" s="6">
        <f>(' Fruits 2013-14(Final)'!AA32-'3rd Fruits 2013-14'!AA32)/'3rd Fruits 2013-14'!AA32*100</f>
        <v>0</v>
      </c>
      <c r="AB32" s="6">
        <f>(' Fruits 2013-14(Final)'!AB32-'3rd Fruits 2013-14'!AB32)/'3rd Fruits 2013-14'!AB32*100</f>
        <v>0</v>
      </c>
      <c r="AC32" s="6">
        <f>(' Fruits 2013-14(Final)'!AC32-'3rd Fruits 2013-14'!AC32)/'3rd Fruits 2013-14'!AC32*100</f>
        <v>0</v>
      </c>
      <c r="AD32" s="6"/>
      <c r="AE32" s="6"/>
      <c r="AF32" s="6">
        <f>(' Fruits 2013-14(Final)'!AF32-'3rd Fruits 2013-14'!AF32)/'3rd Fruits 2013-14'!AF32*100</f>
        <v>0</v>
      </c>
      <c r="AG32" s="6">
        <f>(' Fruits 2013-14(Final)'!AG32-'3rd Fruits 2013-14'!AG32)/'3rd Fruits 2013-14'!AG32*100</f>
        <v>0</v>
      </c>
      <c r="AH32" s="6">
        <f>(' Fruits 2013-14(Final)'!AH32-'3rd Fruits 2013-14'!AH32)/'3rd Fruits 2013-14'!AH32*100</f>
        <v>0</v>
      </c>
      <c r="AI32" s="6">
        <f>(' Fruits 2013-14(Final)'!AI32-'3rd Fruits 2013-14'!AI32)/'3rd Fruits 2013-14'!AI32*100</f>
        <v>0</v>
      </c>
      <c r="AJ32" s="6">
        <f>(' Fruits 2013-14(Final)'!AJ32-'3rd Fruits 2013-14'!AJ32)/'3rd Fruits 2013-14'!AJ32*100</f>
        <v>0</v>
      </c>
      <c r="AK32" s="6">
        <f>(' Fruits 2013-14(Final)'!AK32-'3rd Fruits 2013-14'!AK32)/'3rd Fruits 2013-14'!AK32*100</f>
        <v>0</v>
      </c>
      <c r="AL32" s="6"/>
      <c r="AM32" s="6"/>
      <c r="AN32" s="6">
        <f>(' Fruits 2013-14(Final)'!AN32-'3rd Fruits 2013-14'!AN32)/'3rd Fruits 2013-14'!AN32*100</f>
        <v>0</v>
      </c>
      <c r="AO32" s="6">
        <f>(' Fruits 2013-14(Final)'!AO32-'3rd Fruits 2013-14'!AO32)/'3rd Fruits 2013-14'!AO32*100</f>
        <v>0</v>
      </c>
      <c r="AP32" s="6">
        <f>(' Fruits 2013-14(Final)'!AP32-'3rd Fruits 2013-14'!AP32)/'3rd Fruits 2013-14'!AP32*100</f>
        <v>0</v>
      </c>
      <c r="AQ32" s="6">
        <f>(' Fruits 2013-14(Final)'!AQ32-'3rd Fruits 2013-14'!AQ32)/'3rd Fruits 2013-14'!AQ32*100</f>
        <v>0</v>
      </c>
      <c r="AR32" s="6">
        <f>(' Fruits 2013-14(Final)'!AR32-'3rd Fruits 2013-14'!AR32)/'3rd Fruits 2013-14'!AR32*100</f>
        <v>0</v>
      </c>
      <c r="AS32" s="6">
        <f>(' Fruits 2013-14(Final)'!AS32-'3rd Fruits 2013-14'!AS32)/'3rd Fruits 2013-14'!AS32*100</f>
        <v>0</v>
      </c>
      <c r="AT32" s="6">
        <f>(' Fruits 2013-14(Final)'!AT32-'3rd Fruits 2013-14'!AT32)/'3rd Fruits 2013-14'!AT32*100</f>
        <v>0</v>
      </c>
      <c r="AU32" s="6">
        <f>(' Fruits 2013-14(Final)'!AU32-'3rd Fruits 2013-14'!AU32)/'3rd Fruits 2013-14'!AU32*100</f>
        <v>0</v>
      </c>
      <c r="AV32" s="6"/>
      <c r="AW32" s="6"/>
      <c r="AX32" s="6"/>
      <c r="AY32" s="6"/>
      <c r="AZ32" s="6">
        <f>(' Fruits 2013-14(Final)'!AZ32-'3rd Fruits 2013-14'!AZ32)/'3rd Fruits 2013-14'!AZ32*100</f>
        <v>0</v>
      </c>
      <c r="BA32" s="6">
        <f>(' Fruits 2013-14(Final)'!BA32-'3rd Fruits 2013-14'!BA32)/'3rd Fruits 2013-14'!BA32*100</f>
        <v>0</v>
      </c>
      <c r="BB32" s="2">
        <f t="shared" si="0"/>
        <v>-50</v>
      </c>
      <c r="BC32" s="2">
        <f t="shared" si="0"/>
        <v>0</v>
      </c>
    </row>
    <row r="33" spans="1:55" ht="15.75" x14ac:dyDescent="0.25">
      <c r="A33" s="5" t="s">
        <v>241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2">
        <f t="shared" si="0"/>
        <v>0</v>
      </c>
      <c r="BC33" s="2">
        <f t="shared" si="0"/>
        <v>0</v>
      </c>
    </row>
    <row r="34" spans="1:55" ht="15.75" x14ac:dyDescent="0.25">
      <c r="A34" s="5" t="s">
        <v>37</v>
      </c>
      <c r="B34" s="6"/>
      <c r="C34" s="6"/>
      <c r="D34" s="6"/>
      <c r="E34" s="6"/>
      <c r="F34" s="6"/>
      <c r="G34" s="6"/>
      <c r="H34" s="6"/>
      <c r="I34" s="6"/>
      <c r="J34" s="6">
        <f>(' Fruits 2013-14(Final)'!J34-'3rd Fruits 2013-14'!J34)/'3rd Fruits 2013-14'!J34*100</f>
        <v>-0.21945866861740571</v>
      </c>
      <c r="K34" s="6">
        <f>(' Fruits 2013-14(Final)'!K34-'3rd Fruits 2013-14'!K34)/'3rd Fruits 2013-14'!K34*100</f>
        <v>91.239316239316224</v>
      </c>
      <c r="L34" s="6"/>
      <c r="M34" s="6"/>
      <c r="N34" s="6"/>
      <c r="O34" s="6"/>
      <c r="P34" s="6"/>
      <c r="Q34" s="6"/>
      <c r="R34" s="6">
        <f>(' Fruits 2013-14(Final)'!R34-'3rd Fruits 2013-14'!R34)/'3rd Fruits 2013-14'!R34*100</f>
        <v>83.333333333333314</v>
      </c>
      <c r="S34" s="6">
        <f>(' Fruits 2013-14(Final)'!S34-'3rd Fruits 2013-14'!S34)/'3rd Fruits 2013-14'!S34*100</f>
        <v>87.725631768953065</v>
      </c>
      <c r="T34" s="6">
        <f>(' Fruits 2013-14(Final)'!T34-'3rd Fruits 2013-14'!T34)/'3rd Fruits 2013-14'!T34*100</f>
        <v>11.823204419889485</v>
      </c>
      <c r="U34" s="6">
        <f>(' Fruits 2013-14(Final)'!U34-'3rd Fruits 2013-14'!U34)/'3rd Fruits 2013-14'!U34*100</f>
        <v>11.711645101663589</v>
      </c>
      <c r="V34" s="6"/>
      <c r="W34" s="6"/>
      <c r="X34" s="6">
        <f>(' Fruits 2013-14(Final)'!X34-'3rd Fruits 2013-14'!X34)/'3rd Fruits 2013-14'!X34*100</f>
        <v>10.541310541310544</v>
      </c>
      <c r="Y34" s="6">
        <f>(' Fruits 2013-14(Final)'!Y34-'3rd Fruits 2013-14'!Y34)/'3rd Fruits 2013-14'!Y34*100</f>
        <v>12.111111111111111</v>
      </c>
      <c r="Z34" s="6">
        <f>(' Fruits 2013-14(Final)'!Z34-'3rd Fruits 2013-14'!Z34)/'3rd Fruits 2013-14'!Z34*100</f>
        <v>25.415676959619958</v>
      </c>
      <c r="AA34" s="6">
        <f>(' Fruits 2013-14(Final)'!AA34-'3rd Fruits 2013-14'!AA34)/'3rd Fruits 2013-14'!AA34*100</f>
        <v>94.068965517241381</v>
      </c>
      <c r="AB34" s="6">
        <f>(' Fruits 2013-14(Final)'!AB34-'3rd Fruits 2013-14'!AB34)/'3rd Fruits 2013-14'!AB34*100</f>
        <v>24.452554744525543</v>
      </c>
      <c r="AC34" s="6">
        <f>(' Fruits 2013-14(Final)'!AC34-'3rd Fruits 2013-14'!AC34)/'3rd Fruits 2013-14'!AC34*100</f>
        <v>22.981818181818184</v>
      </c>
      <c r="AD34" s="6"/>
      <c r="AE34" s="6"/>
      <c r="AF34" s="6">
        <f>(' Fruits 2013-14(Final)'!AF34-'3rd Fruits 2013-14'!AF34)/'3rd Fruits 2013-14'!AF34*100</f>
        <v>26.08247422680412</v>
      </c>
      <c r="AG34" s="6">
        <f>(' Fruits 2013-14(Final)'!AG34-'3rd Fruits 2013-14'!AG34)/'3rd Fruits 2013-14'!AG34*100</f>
        <v>23.272851704884776</v>
      </c>
      <c r="AH34" s="6"/>
      <c r="AI34" s="6"/>
      <c r="AJ34" s="6"/>
      <c r="AK34" s="6"/>
      <c r="AL34" s="6"/>
      <c r="AM34" s="6"/>
      <c r="AN34" s="6">
        <f>(' Fruits 2013-14(Final)'!AN34-'3rd Fruits 2013-14'!AN34)/'3rd Fruits 2013-14'!AN34*100</f>
        <v>-2.1940928270042179</v>
      </c>
      <c r="AO34" s="6">
        <f>(' Fruits 2013-14(Final)'!AO34-'3rd Fruits 2013-14'!AO34)/'3rd Fruits 2013-14'!AO34*100</f>
        <v>-1.9577039274924526</v>
      </c>
      <c r="AP34" s="6"/>
      <c r="AQ34" s="6"/>
      <c r="AR34" s="6"/>
      <c r="AS34" s="6"/>
      <c r="AT34" s="6">
        <f>(' Fruits 2013-14(Final)'!AT34-'3rd Fruits 2013-14'!AT34)/'3rd Fruits 2013-14'!AT34*100</f>
        <v>53.846153846153854</v>
      </c>
      <c r="AU34" s="6">
        <f>(' Fruits 2013-14(Final)'!AU34-'3rd Fruits 2013-14'!AU34)/'3rd Fruits 2013-14'!AU34*100</f>
        <v>28.57142857142858</v>
      </c>
      <c r="AV34" s="6"/>
      <c r="AW34" s="6"/>
      <c r="AX34" s="6"/>
      <c r="AY34" s="6"/>
      <c r="AZ34" s="6">
        <f>(' Fruits 2013-14(Final)'!AZ34-'3rd Fruits 2013-14'!AZ34)/'3rd Fruits 2013-14'!AZ34*100</f>
        <v>83.333333333333343</v>
      </c>
      <c r="BA34" s="6">
        <f>(' Fruits 2013-14(Final)'!BA34-'3rd Fruits 2013-14'!BA34)/'3rd Fruits 2013-14'!BA34*100</f>
        <v>79.428571428571431</v>
      </c>
      <c r="BB34" s="2">
        <f t="shared" si="0"/>
        <v>316.4144899093485</v>
      </c>
      <c r="BC34" s="2">
        <f t="shared" si="0"/>
        <v>449.15363569749587</v>
      </c>
    </row>
    <row r="35" spans="1:55" ht="15.75" x14ac:dyDescent="0.25">
      <c r="A35" s="5" t="s">
        <v>38</v>
      </c>
      <c r="B35" s="6"/>
      <c r="C35" s="6"/>
      <c r="D35" s="6">
        <f>(' Fruits 2013-14(Final)'!D35-'3rd Fruits 2013-14'!D35)/'3rd Fruits 2013-14'!D35*100</f>
        <v>0</v>
      </c>
      <c r="E35" s="6">
        <f>(' Fruits 2013-14(Final)'!E35-'3rd Fruits 2013-14'!E35)/'3rd Fruits 2013-14'!E35*100</f>
        <v>0</v>
      </c>
      <c r="F35" s="6"/>
      <c r="G35" s="6"/>
      <c r="H35" s="6"/>
      <c r="I35" s="6"/>
      <c r="J35" s="6">
        <f>(' Fruits 2013-14(Final)'!J35-'3rd Fruits 2013-14'!J35)/'3rd Fruits 2013-14'!J35*100</f>
        <v>0</v>
      </c>
      <c r="K35" s="6">
        <f>(' Fruits 2013-14(Final)'!K35-'3rd Fruits 2013-14'!K35)/'3rd Fruits 2013-14'!K35*100</f>
        <v>0</v>
      </c>
      <c r="L35" s="6"/>
      <c r="M35" s="6"/>
      <c r="N35" s="6"/>
      <c r="O35" s="6"/>
      <c r="P35" s="6"/>
      <c r="Q35" s="6"/>
      <c r="R35" s="6">
        <f>(' Fruits 2013-14(Final)'!R35-'3rd Fruits 2013-14'!R35)/'3rd Fruits 2013-14'!R35*100</f>
        <v>0</v>
      </c>
      <c r="S35" s="6">
        <f>(' Fruits 2013-14(Final)'!S35-'3rd Fruits 2013-14'!S35)/'3rd Fruits 2013-14'!S35*100</f>
        <v>0</v>
      </c>
      <c r="T35" s="6">
        <f>(' Fruits 2013-14(Final)'!T35-'3rd Fruits 2013-14'!T35)/'3rd Fruits 2013-14'!T35*100</f>
        <v>0</v>
      </c>
      <c r="U35" s="6">
        <f>(' Fruits 2013-14(Final)'!U35-'3rd Fruits 2013-14'!U35)/'3rd Fruits 2013-14'!U35*100</f>
        <v>0</v>
      </c>
      <c r="V35" s="6"/>
      <c r="W35" s="6"/>
      <c r="X35" s="6">
        <f>(' Fruits 2013-14(Final)'!X35-'3rd Fruits 2013-14'!X35)/'3rd Fruits 2013-14'!X35*100</f>
        <v>0</v>
      </c>
      <c r="Y35" s="6">
        <f>(' Fruits 2013-14(Final)'!Y35-'3rd Fruits 2013-14'!Y35)/'3rd Fruits 2013-14'!Y35*100</f>
        <v>0</v>
      </c>
      <c r="Z35" s="6">
        <f>(' Fruits 2013-14(Final)'!Z35-'3rd Fruits 2013-14'!Z35)/'3rd Fruits 2013-14'!Z35*100</f>
        <v>0</v>
      </c>
      <c r="AA35" s="6">
        <f>(' Fruits 2013-14(Final)'!AA35-'3rd Fruits 2013-14'!AA35)/'3rd Fruits 2013-14'!AA35*100</f>
        <v>0</v>
      </c>
      <c r="AB35" s="6">
        <f>(' Fruits 2013-14(Final)'!AB35-'3rd Fruits 2013-14'!AB35)/'3rd Fruits 2013-14'!AB35*100</f>
        <v>0</v>
      </c>
      <c r="AC35" s="6">
        <f>(' Fruits 2013-14(Final)'!AC35-'3rd Fruits 2013-14'!AC35)/'3rd Fruits 2013-14'!AC35*100</f>
        <v>0</v>
      </c>
      <c r="AD35" s="6"/>
      <c r="AE35" s="6"/>
      <c r="AF35" s="6">
        <f>(' Fruits 2013-14(Final)'!AF35-'3rd Fruits 2013-14'!AF35)/'3rd Fruits 2013-14'!AF35*100</f>
        <v>0</v>
      </c>
      <c r="AG35" s="6">
        <f>(' Fruits 2013-14(Final)'!AG35-'3rd Fruits 2013-14'!AG35)/'3rd Fruits 2013-14'!AG35*100</f>
        <v>0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2">
        <f t="shared" si="0"/>
        <v>0</v>
      </c>
      <c r="BC35" s="2">
        <f t="shared" si="0"/>
        <v>0</v>
      </c>
    </row>
    <row r="36" spans="1:55" ht="15.75" x14ac:dyDescent="0.25">
      <c r="A36" s="5" t="s">
        <v>90</v>
      </c>
      <c r="B36" s="6"/>
      <c r="C36" s="6"/>
      <c r="D36" s="6">
        <f>(' Fruits 2013-14(Final)'!D36-'3rd Fruits 2013-14'!D36)/'3rd Fruits 2013-14'!D36*100</f>
        <v>-2.0560747663551417</v>
      </c>
      <c r="E36" s="6">
        <f>(' Fruits 2013-14(Final)'!E36-'3rd Fruits 2013-14'!E36)/'3rd Fruits 2013-14'!E36*100</f>
        <v>-8.5414987912973466</v>
      </c>
      <c r="F36" s="6">
        <f>(' Fruits 2013-14(Final)'!F36-'3rd Fruits 2013-14'!F36)/'3rd Fruits 2013-14'!F36*100</f>
        <v>-11.217084801990469</v>
      </c>
      <c r="G36" s="6">
        <f>(' Fruits 2013-14(Final)'!G36-'3rd Fruits 2013-14'!G36)/'3rd Fruits 2013-14'!G36*100</f>
        <v>-37.151459083974416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f>(' Fruits 2013-14(Final)'!R36-'3rd Fruits 2013-14'!R36)/'3rd Fruits 2013-14'!R36*100</f>
        <v>12.032967032967038</v>
      </c>
      <c r="S36" s="6">
        <f>(' Fruits 2013-14(Final)'!S36-'3rd Fruits 2013-14'!S36)/'3rd Fruits 2013-14'!S36*100</f>
        <v>5.2918904640310025</v>
      </c>
      <c r="T36" s="6"/>
      <c r="U36" s="6"/>
      <c r="V36" s="6"/>
      <c r="W36" s="6"/>
      <c r="X36" s="6">
        <f>(' Fruits 2013-14(Final)'!X36-'3rd Fruits 2013-14'!X36)/'3rd Fruits 2013-14'!X36*100</f>
        <v>-0.46389035318923261</v>
      </c>
      <c r="Y36" s="6">
        <f>(' Fruits 2013-14(Final)'!Y36-'3rd Fruits 2013-14'!Y36)/'3rd Fruits 2013-14'!Y36*100</f>
        <v>60.255741127348628</v>
      </c>
      <c r="Z36" s="6">
        <f>(' Fruits 2013-14(Final)'!Z36-'3rd Fruits 2013-14'!Z36)/'3rd Fruits 2013-14'!Z36*100</f>
        <v>-7.2446675031367631</v>
      </c>
      <c r="AA36" s="6">
        <f>(' Fruits 2013-14(Final)'!AA36-'3rd Fruits 2013-14'!AA36)/'3rd Fruits 2013-14'!AA36*100</f>
        <v>1.2089612486544843</v>
      </c>
      <c r="AB36" s="6"/>
      <c r="AC36" s="6"/>
      <c r="AD36" s="6"/>
      <c r="AE36" s="6"/>
      <c r="AF36" s="6">
        <f>(' Fruits 2013-14(Final)'!AF36-'3rd Fruits 2013-14'!AF36)/'3rd Fruits 2013-14'!AF36*100</f>
        <v>-24.984802431610937</v>
      </c>
      <c r="AG36" s="6">
        <f>(' Fruits 2013-14(Final)'!AG36-'3rd Fruits 2013-14'!AG36)/'3rd Fruits 2013-14'!AG36*100</f>
        <v>-34.243736779243946</v>
      </c>
      <c r="AH36" s="6">
        <f>(' Fruits 2013-14(Final)'!AH36-'3rd Fruits 2013-14'!AH36)/'3rd Fruits 2013-14'!AH36*100</f>
        <v>-11.488655229662427</v>
      </c>
      <c r="AI36" s="6">
        <f>(' Fruits 2013-14(Final)'!AI36-'3rd Fruits 2013-14'!AI36)/'3rd Fruits 2013-14'!AI36*100</f>
        <v>-9.3327195580818127</v>
      </c>
      <c r="AJ36" s="6">
        <f>(' Fruits 2013-14(Final)'!AJ36-'3rd Fruits 2013-14'!AJ36)/'3rd Fruits 2013-14'!AJ36*100</f>
        <v>-11.159708416169645</v>
      </c>
      <c r="AK36" s="6">
        <f>(' Fruits 2013-14(Final)'!AK36-'3rd Fruits 2013-14'!AK36)/'3rd Fruits 2013-14'!AK36*100</f>
        <v>-16.089573669096527</v>
      </c>
      <c r="AL36" s="6"/>
      <c r="AM36" s="6"/>
      <c r="AN36" s="6"/>
      <c r="AO36" s="6"/>
      <c r="AP36" s="6">
        <f>(' Fruits 2013-14(Final)'!AP36-'3rd Fruits 2013-14'!AP36)/'3rd Fruits 2013-14'!AP36*100</f>
        <v>-11.656314699792954</v>
      </c>
      <c r="AQ36" s="6">
        <f>(' Fruits 2013-14(Final)'!AQ36-'3rd Fruits 2013-14'!AQ36)/'3rd Fruits 2013-14'!AQ36*100</f>
        <v>-15.917281412504526</v>
      </c>
      <c r="AR36" s="6"/>
      <c r="AS36" s="6"/>
      <c r="AT36" s="6"/>
      <c r="AU36" s="6"/>
      <c r="AV36" s="6"/>
      <c r="AW36" s="6"/>
      <c r="AX36" s="6">
        <f>(' Fruits 2013-14(Final)'!AX36-'3rd Fruits 2013-14'!AX36)/'3rd Fruits 2013-14'!AX36*100</f>
        <v>-14.47837150127226</v>
      </c>
      <c r="AY36" s="6">
        <f>(' Fruits 2013-14(Final)'!AY36-'3rd Fruits 2013-14'!AY36)/'3rd Fruits 2013-14'!AY36*100</f>
        <v>-22.482733551435842</v>
      </c>
      <c r="AZ36" s="6">
        <f>(' Fruits 2013-14(Final)'!AZ36-'3rd Fruits 2013-14'!AZ36)/'3rd Fruits 2013-14'!AZ36*100</f>
        <v>-26.582352941176474</v>
      </c>
      <c r="BA36" s="6">
        <f>(' Fruits 2013-14(Final)'!BA36-'3rd Fruits 2013-14'!BA36)/'3rd Fruits 2013-14'!BA36*100</f>
        <v>-9.8978673338483691</v>
      </c>
      <c r="BB36" s="2">
        <f t="shared" si="0"/>
        <v>-109.29895561138926</v>
      </c>
      <c r="BC36" s="2">
        <f t="shared" si="0"/>
        <v>-86.900277339448664</v>
      </c>
    </row>
    <row r="37" spans="1:55" ht="15.75" x14ac:dyDescent="0.25">
      <c r="A37" s="5" t="s">
        <v>40</v>
      </c>
      <c r="B37" s="6"/>
      <c r="C37" s="6"/>
      <c r="D37" s="6"/>
      <c r="E37" s="6"/>
      <c r="F37" s="6"/>
      <c r="G37" s="6"/>
      <c r="H37" s="6"/>
      <c r="I37" s="6"/>
      <c r="J37" s="6">
        <f>(' Fruits 2013-14(Final)'!J37-'3rd Fruits 2013-14'!J37)/'3rd Fruits 2013-14'!J37*100</f>
        <v>0</v>
      </c>
      <c r="K37" s="6">
        <f>(' Fruits 2013-14(Final)'!K37-'3rd Fruits 2013-14'!K37)/'3rd Fruits 2013-14'!K37*100</f>
        <v>0</v>
      </c>
      <c r="L37" s="6"/>
      <c r="M37" s="6"/>
      <c r="N37" s="6"/>
      <c r="O37" s="6"/>
      <c r="P37" s="6"/>
      <c r="Q37" s="6"/>
      <c r="R37" s="6">
        <f>(' Fruits 2013-14(Final)'!R37-'3rd Fruits 2013-14'!R37)/'3rd Fruits 2013-14'!R37*100</f>
        <v>0</v>
      </c>
      <c r="S37" s="6">
        <f>(' Fruits 2013-14(Final)'!S37-'3rd Fruits 2013-14'!S37)/'3rd Fruits 2013-14'!S37*100</f>
        <v>0</v>
      </c>
      <c r="T37" s="6">
        <f>(' Fruits 2013-14(Final)'!T37-'3rd Fruits 2013-14'!T37)/'3rd Fruits 2013-14'!T37*100</f>
        <v>0</v>
      </c>
      <c r="U37" s="6">
        <f>(' Fruits 2013-14(Final)'!U37-'3rd Fruits 2013-14'!U37)/'3rd Fruits 2013-14'!U37*100</f>
        <v>0</v>
      </c>
      <c r="V37" s="6"/>
      <c r="W37" s="6"/>
      <c r="X37" s="6">
        <f>(' Fruits 2013-14(Final)'!X37-'3rd Fruits 2013-14'!X37)/'3rd Fruits 2013-14'!X37*100</f>
        <v>0</v>
      </c>
      <c r="Y37" s="6">
        <f>(' Fruits 2013-14(Final)'!Y37-'3rd Fruits 2013-14'!Y37)/'3rd Fruits 2013-14'!Y37*100</f>
        <v>0</v>
      </c>
      <c r="Z37" s="6">
        <f>(' Fruits 2013-14(Final)'!Z37-'3rd Fruits 2013-14'!Z37)/'3rd Fruits 2013-14'!Z37*100</f>
        <v>0</v>
      </c>
      <c r="AA37" s="6">
        <f>(' Fruits 2013-14(Final)'!AA37-'3rd Fruits 2013-14'!AA37)/'3rd Fruits 2013-14'!AA37*100</f>
        <v>0</v>
      </c>
      <c r="AB37" s="6">
        <f>(' Fruits 2013-14(Final)'!AB37-'3rd Fruits 2013-14'!AB37)/'3rd Fruits 2013-14'!AB37*100</f>
        <v>0</v>
      </c>
      <c r="AC37" s="6">
        <f>(' Fruits 2013-14(Final)'!AC37-'3rd Fruits 2013-14'!AC37)/'3rd Fruits 2013-14'!AC37*100</f>
        <v>0</v>
      </c>
      <c r="AD37" s="6"/>
      <c r="AE37" s="6"/>
      <c r="AF37" s="6">
        <f>(' Fruits 2013-14(Final)'!AF37-'3rd Fruits 2013-14'!AF37)/'3rd Fruits 2013-14'!AF37*100</f>
        <v>0</v>
      </c>
      <c r="AG37" s="6">
        <f>(' Fruits 2013-14(Final)'!AG37-'3rd Fruits 2013-14'!AG37)/'3rd Fruits 2013-14'!AG37*100</f>
        <v>0</v>
      </c>
      <c r="AH37" s="6"/>
      <c r="AI37" s="6"/>
      <c r="AJ37" s="6"/>
      <c r="AK37" s="6"/>
      <c r="AL37" s="6"/>
      <c r="AM37" s="6"/>
      <c r="AN37" s="6">
        <f>(' Fruits 2013-14(Final)'!AN37-'3rd Fruits 2013-14'!AN37)/'3rd Fruits 2013-14'!AN37*100</f>
        <v>0</v>
      </c>
      <c r="AO37" s="6">
        <f>(' Fruits 2013-14(Final)'!AO37-'3rd Fruits 2013-14'!AO37)/'3rd Fruits 2013-14'!AO37*100</f>
        <v>0</v>
      </c>
      <c r="AP37" s="6"/>
      <c r="AQ37" s="6"/>
      <c r="AR37" s="6"/>
      <c r="AS37" s="6"/>
      <c r="AT37" s="6">
        <f>(' Fruits 2013-14(Final)'!AT37-'3rd Fruits 2013-14'!AT37)/'3rd Fruits 2013-14'!AT37*100</f>
        <v>0</v>
      </c>
      <c r="AU37" s="6">
        <f>(' Fruits 2013-14(Final)'!AU37-'3rd Fruits 2013-14'!AU37)/'3rd Fruits 2013-14'!AU37*100</f>
        <v>0</v>
      </c>
      <c r="AV37" s="6"/>
      <c r="AW37" s="6"/>
      <c r="AX37" s="6"/>
      <c r="AY37" s="6"/>
      <c r="AZ37" s="6">
        <f>(' Fruits 2013-14(Final)'!AZ37-'3rd Fruits 2013-14'!AZ37)/'3rd Fruits 2013-14'!AZ37*100</f>
        <v>0</v>
      </c>
      <c r="BA37" s="6">
        <f>(' Fruits 2013-14(Final)'!BA37-'3rd Fruits 2013-14'!BA37)/'3rd Fruits 2013-14'!BA37*100</f>
        <v>0</v>
      </c>
      <c r="BB37" s="2">
        <f t="shared" si="0"/>
        <v>0</v>
      </c>
      <c r="BC37" s="2">
        <f t="shared" si="0"/>
        <v>0</v>
      </c>
    </row>
    <row r="38" spans="1:55" ht="15.75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2"/>
      <c r="AG38" s="2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2"/>
      <c r="BC38" s="2"/>
    </row>
    <row r="39" spans="1:55" ht="15.75" x14ac:dyDescent="0.25">
      <c r="A39" s="5" t="s">
        <v>9</v>
      </c>
      <c r="B39" s="2">
        <f>(' Fruits 2013-14(Final)'!B39-'3rd Fruits 2013-14'!B39)/'3rd Fruits 2013-14'!B39*100</f>
        <v>-0.24712080943722117</v>
      </c>
      <c r="C39" s="2">
        <f>(' Fruits 2013-14(Final)'!C39-'3rd Fruits 2013-14'!C39)/'3rd Fruits 2013-14'!C39*100</f>
        <v>0</v>
      </c>
      <c r="D39" s="2">
        <f>(' Fruits 2013-14(Final)'!D39-'3rd Fruits 2013-14'!D39)/'3rd Fruits 2013-14'!D39*100</f>
        <v>-5.6965656676047196</v>
      </c>
      <c r="E39" s="2">
        <f>(' Fruits 2013-14(Final)'!E39-'3rd Fruits 2013-14'!E39)/'3rd Fruits 2013-14'!E39*100</f>
        <v>-4.39548949272789</v>
      </c>
      <c r="F39" s="2">
        <f>(' Fruits 2013-14(Final)'!F39-'3rd Fruits 2013-14'!F39)/'3rd Fruits 2013-14'!F39*100</f>
        <v>-0.73660211753291738</v>
      </c>
      <c r="G39" s="2">
        <f>(' Fruits 2013-14(Final)'!G39-'3rd Fruits 2013-14'!G39)/'3rd Fruits 2013-14'!G39*100</f>
        <v>-1.8022668594179911</v>
      </c>
      <c r="H39" s="2">
        <f>(' Fruits 2013-14(Final)'!H39-'3rd Fruits 2013-14'!H39)/'3rd Fruits 2013-14'!H39*100</f>
        <v>2.0547945205479472</v>
      </c>
      <c r="I39" s="2">
        <f>(' Fruits 2013-14(Final)'!I39-'3rd Fruits 2013-14'!I39)/'3rd Fruits 2013-14'!I39*100</f>
        <v>0</v>
      </c>
      <c r="J39" s="2">
        <f>(' Fruits 2013-14(Final)'!J39-'3rd Fruits 2013-14'!J39)/'3rd Fruits 2013-14'!J39*100</f>
        <v>-3.4460605623127472</v>
      </c>
      <c r="K39" s="2">
        <f>(' Fruits 2013-14(Final)'!K39-'3rd Fruits 2013-14'!K39)/'3rd Fruits 2013-14'!K39*100</f>
        <v>0.66012031243072633</v>
      </c>
      <c r="L39" s="2">
        <f>(' Fruits 2013-14(Final)'!L39-'3rd Fruits 2013-14'!L39)/'3rd Fruits 2013-14'!L39*100</f>
        <v>21.490546165805707</v>
      </c>
      <c r="M39" s="2">
        <f>(' Fruits 2013-14(Final)'!M39-'3rd Fruits 2013-14'!M39)/'3rd Fruits 2013-14'!M39*100</f>
        <v>73.652667946659406</v>
      </c>
      <c r="N39" s="2">
        <f>(' Fruits 2013-14(Final)'!N39-'3rd Fruits 2013-14'!N39)/'3rd Fruits 2013-14'!N39*100</f>
        <v>-5.5119135454190342</v>
      </c>
      <c r="O39" s="2">
        <f>(' Fruits 2013-14(Final)'!O39-'3rd Fruits 2013-14'!O39)/'3rd Fruits 2013-14'!O39*100</f>
        <v>-5.340807483320714</v>
      </c>
      <c r="P39" s="2">
        <f>(' Fruits 2013-14(Final)'!P39-'3rd Fruits 2013-14'!P39)/'3rd Fruits 2013-14'!P39*100</f>
        <v>-0.24532248985524424</v>
      </c>
      <c r="Q39" s="2">
        <f>(' Fruits 2013-14(Final)'!Q39-'3rd Fruits 2013-14'!Q39)/'3rd Fruits 2013-14'!Q39*100</f>
        <v>2.3798520616448182</v>
      </c>
      <c r="R39" s="2">
        <f>(' Fruits 2013-14(Final)'!R39-'3rd Fruits 2013-14'!R39)/'3rd Fruits 2013-14'!R39*100</f>
        <v>-1.3940766448045754</v>
      </c>
      <c r="S39" s="2">
        <f>(' Fruits 2013-14(Final)'!S39-'3rd Fruits 2013-14'!S39)/'3rd Fruits 2013-14'!S39*100</f>
        <v>0.83635010348807293</v>
      </c>
      <c r="T39" s="2">
        <f>(' Fruits 2013-14(Final)'!T39-'3rd Fruits 2013-14'!T39)/'3rd Fruits 2013-14'!T39*100</f>
        <v>130.36912506395726</v>
      </c>
      <c r="U39" s="2">
        <f>(' Fruits 2013-14(Final)'!U39-'3rd Fruits 2013-14'!U39)/'3rd Fruits 2013-14'!U39*100</f>
        <v>23.104653865750855</v>
      </c>
      <c r="V39" s="2">
        <f>(' Fruits 2013-14(Final)'!V39-'3rd Fruits 2013-14'!V39)/'3rd Fruits 2013-14'!V39*100</f>
        <v>0.33955857385399013</v>
      </c>
      <c r="W39" s="2">
        <f>(' Fruits 2013-14(Final)'!W39-'3rd Fruits 2013-14'!W39)/'3rd Fruits 2013-14'!W39*100</f>
        <v>-9.8457499179520873</v>
      </c>
      <c r="X39" s="2">
        <f>(' Fruits 2013-14(Final)'!X39-'3rd Fruits 2013-14'!X39)/'3rd Fruits 2013-14'!X39*100</f>
        <v>-9.6145856825765971E-2</v>
      </c>
      <c r="Y39" s="2">
        <f>(' Fruits 2013-14(Final)'!Y39-'3rd Fruits 2013-14'!Y39)/'3rd Fruits 2013-14'!Y39*100</f>
        <v>-2.3134131564629201</v>
      </c>
      <c r="Z39" s="2">
        <f>(' Fruits 2013-14(Final)'!Z39-'3rd Fruits 2013-14'!Z39)/'3rd Fruits 2013-14'!Z39*100</f>
        <v>-0.48224776823944399</v>
      </c>
      <c r="AA39" s="2">
        <f>(' Fruits 2013-14(Final)'!AA39-'3rd Fruits 2013-14'!AA39)/'3rd Fruits 2013-14'!AA39*100</f>
        <v>2.7481443536725143</v>
      </c>
      <c r="AB39" s="2">
        <f>(' Fruits 2013-14(Final)'!AB39-'3rd Fruits 2013-14'!AB39)/'3rd Fruits 2013-14'!AB39*100</f>
        <v>-1.0447583996200573</v>
      </c>
      <c r="AC39" s="2">
        <f>(' Fruits 2013-14(Final)'!AC39-'3rd Fruits 2013-14'!AC39)/'3rd Fruits 2013-14'!AC39*100</f>
        <v>1.1968551865519061</v>
      </c>
      <c r="AD39" s="2">
        <f>(' Fruits 2013-14(Final)'!AD39-'3rd Fruits 2013-14'!AD39)/'3rd Fruits 2013-14'!AD39*100</f>
        <v>0</v>
      </c>
      <c r="AE39" s="2">
        <f>(' Fruits 2013-14(Final)'!AE39-'3rd Fruits 2013-14'!AE39)/'3rd Fruits 2013-14'!AE39*100</f>
        <v>1.0188694624444716</v>
      </c>
      <c r="AF39" s="2">
        <f>(' Fruits 2013-14(Final)'!AF39-'3rd Fruits 2013-14'!AF39)/'3rd Fruits 2013-14'!AF39*100</f>
        <v>0.63740719263501022</v>
      </c>
      <c r="AG39" s="2">
        <f>(' Fruits 2013-14(Final)'!AG39-'3rd Fruits 2013-14'!AG39)/'3rd Fruits 2013-14'!AG39*100</f>
        <v>6.3222653644334406</v>
      </c>
      <c r="AH39" s="2">
        <f>(' Fruits 2013-14(Final)'!AH39-'3rd Fruits 2013-14'!AH39)/'3rd Fruits 2013-14'!AH39*100</f>
        <v>-5.8327696550288888</v>
      </c>
      <c r="AI39" s="2">
        <f>(' Fruits 2013-14(Final)'!AI39-'3rd Fruits 2013-14'!AI39)/'3rd Fruits 2013-14'!AI39*100</f>
        <v>-5.7285996532397814</v>
      </c>
      <c r="AJ39" s="2">
        <f>(' Fruits 2013-14(Final)'!AJ39-'3rd Fruits 2013-14'!AJ39)/'3rd Fruits 2013-14'!AJ39*100</f>
        <v>-3.0519822980440781</v>
      </c>
      <c r="AK39" s="2">
        <f>(' Fruits 2013-14(Final)'!AK39-'3rd Fruits 2013-14'!AK39)/'3rd Fruits 2013-14'!AK39*100</f>
        <v>-5.2080683154892071</v>
      </c>
      <c r="AL39" s="2">
        <f>(' Fruits 2013-14(Final)'!AL39-'3rd Fruits 2013-14'!AL39)/'3rd Fruits 2013-14'!AL39*100</f>
        <v>138.12600969305331</v>
      </c>
      <c r="AM39" s="2">
        <f>(' Fruits 2013-14(Final)'!AM39-'3rd Fruits 2013-14'!AM39)/'3rd Fruits 2013-14'!AM39*100</f>
        <v>0</v>
      </c>
      <c r="AN39" s="2">
        <f>(' Fruits 2013-14(Final)'!AN39-'3rd Fruits 2013-14'!AN39)/'3rd Fruits 2013-14'!AN39*100</f>
        <v>1.0642114073897024</v>
      </c>
      <c r="AO39" s="2">
        <f>(' Fruits 2013-14(Final)'!AO39-'3rd Fruits 2013-14'!AO39)/'3rd Fruits 2013-14'!AO39*100</f>
        <v>3.3457025648105225</v>
      </c>
      <c r="AP39" s="2">
        <f>(' Fruits 2013-14(Final)'!AP39-'3rd Fruits 2013-14'!AP39)/'3rd Fruits 2013-14'!AP39*100</f>
        <v>-4.5274616526471991</v>
      </c>
      <c r="AQ39" s="2">
        <f>(' Fruits 2013-14(Final)'!AQ39-'3rd Fruits 2013-14'!AQ39)/'3rd Fruits 2013-14'!AQ39*100</f>
        <v>-7.9087397040600527</v>
      </c>
      <c r="AR39" s="2">
        <f>(' Fruits 2013-14(Final)'!AR39-'3rd Fruits 2013-14'!AR39)/'3rd Fruits 2013-14'!AR39*100</f>
        <v>1.4098815792534787</v>
      </c>
      <c r="AS39" s="2">
        <f>(' Fruits 2013-14(Final)'!AS39-'3rd Fruits 2013-14'!AS39)/'3rd Fruits 2013-14'!AS39*100</f>
        <v>25.566787100960433</v>
      </c>
      <c r="AT39" s="2">
        <f>(' Fruits 2013-14(Final)'!AT39-'3rd Fruits 2013-14'!AT39)/'3rd Fruits 2013-14'!AT39*100</f>
        <v>7.54538106726788</v>
      </c>
      <c r="AU39" s="2">
        <f>(' Fruits 2013-14(Final)'!AU39-'3rd Fruits 2013-14'!AU39)/'3rd Fruits 2013-14'!AU39*100</f>
        <v>14.498628086804704</v>
      </c>
      <c r="AV39" s="2">
        <f>(' Fruits 2013-14(Final)'!AV39-'3rd Fruits 2013-14'!AV39)/'3rd Fruits 2013-14'!AV39*100</f>
        <v>-68.429003021148034</v>
      </c>
      <c r="AW39" s="2">
        <f>(' Fruits 2013-14(Final)'!AW39-'3rd Fruits 2013-14'!AW39)/'3rd Fruits 2013-14'!AW39*100</f>
        <v>-14.9868073878628</v>
      </c>
      <c r="AX39" s="2">
        <f>(' Fruits 2013-14(Final)'!AX39-'3rd Fruits 2013-14'!AX39)/'3rd Fruits 2013-14'!AX39*100</f>
        <v>-2.2960860711594302</v>
      </c>
      <c r="AY39" s="2">
        <f>(' Fruits 2013-14(Final)'!AY39-'3rd Fruits 2013-14'!AY39)/'3rd Fruits 2013-14'!AY39*100</f>
        <v>-2.0148302582875601</v>
      </c>
      <c r="AZ39" s="2">
        <f>(' Fruits 2013-14(Final)'!AZ39-'3rd Fruits 2013-14'!AZ39)/'3rd Fruits 2013-14'!AZ39*100</f>
        <v>-2.9481778907133211</v>
      </c>
      <c r="BA39" s="2">
        <f>(' Fruits 2013-14(Final)'!BA39-'3rd Fruits 2013-14'!BA39)/'3rd Fruits 2013-14'!BA39*100</f>
        <v>-5.6345902886875905</v>
      </c>
      <c r="BB39" s="2">
        <f>(' Fruits 2013-14(Final)'!BB39-'3rd Fruits 2013-14'!BB39)/'3rd Fruits 2013-14'!BB39*100</f>
        <v>0.42189007924443195</v>
      </c>
      <c r="BC39" s="2">
        <f>(' Fruits 2013-14(Final)'!BC39-'3rd Fruits 2013-14'!BC39)/'3rd Fruits 2013-14'!BC39*100</f>
        <v>2.4820220913447493</v>
      </c>
    </row>
  </sheetData>
  <mergeCells count="27">
    <mergeCell ref="AV1:AW1"/>
    <mergeCell ref="AF1:AG1"/>
    <mergeCell ref="AH1:AI1"/>
    <mergeCell ref="AX1:AY1"/>
    <mergeCell ref="AZ1:BA1"/>
    <mergeCell ref="BB1:BC1"/>
    <mergeCell ref="AL1:AM1"/>
    <mergeCell ref="AN1:AO1"/>
    <mergeCell ref="AP1:AQ1"/>
    <mergeCell ref="AR1:AS1"/>
    <mergeCell ref="AT1:AU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SheetLayoutView="85" workbookViewId="0">
      <selection activeCell="A3" sqref="A3:Q3"/>
    </sheetView>
  </sheetViews>
  <sheetFormatPr defaultColWidth="12.7109375" defaultRowHeight="14.25" customHeight="1" x14ac:dyDescent="0.2"/>
  <cols>
    <col min="1" max="1" width="29.28515625" style="121" customWidth="1"/>
    <col min="2" max="7" width="11.28515625" style="121" customWidth="1"/>
    <col min="8" max="8" width="12.5703125" style="121" customWidth="1"/>
    <col min="9" max="17" width="11.28515625" style="121" customWidth="1"/>
    <col min="18" max="16384" width="12.7109375" style="121"/>
  </cols>
  <sheetData>
    <row r="1" spans="1:17" ht="31.5" customHeight="1" x14ac:dyDescent="0.25">
      <c r="A1" s="250" t="s">
        <v>302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ht="14.25" customHeight="1" x14ac:dyDescent="0.2">
      <c r="A2" s="251" t="s">
        <v>208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7" ht="14.25" customHeight="1" x14ac:dyDescent="0.2">
      <c r="A3" s="252" t="s">
        <v>209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</row>
    <row r="4" spans="1:17" ht="18" customHeight="1" x14ac:dyDescent="0.2">
      <c r="A4" s="119" t="s">
        <v>224</v>
      </c>
      <c r="B4" s="246" t="s">
        <v>58</v>
      </c>
      <c r="C4" s="248"/>
      <c r="D4" s="247" t="s">
        <v>217</v>
      </c>
      <c r="E4" s="247"/>
      <c r="F4" s="247" t="s">
        <v>59</v>
      </c>
      <c r="G4" s="247"/>
      <c r="H4" s="247"/>
      <c r="I4" s="247" t="s">
        <v>60</v>
      </c>
      <c r="J4" s="247"/>
      <c r="K4" s="247" t="s">
        <v>61</v>
      </c>
      <c r="L4" s="247"/>
      <c r="M4" s="248" t="s">
        <v>218</v>
      </c>
      <c r="N4" s="248"/>
      <c r="O4" s="120" t="s">
        <v>237</v>
      </c>
      <c r="P4" s="249" t="s">
        <v>9</v>
      </c>
      <c r="Q4" s="247"/>
    </row>
    <row r="5" spans="1:17" ht="19.5" customHeight="1" x14ac:dyDescent="0.2">
      <c r="A5" s="122"/>
      <c r="B5" s="120" t="s">
        <v>48</v>
      </c>
      <c r="C5" s="122" t="s">
        <v>10</v>
      </c>
      <c r="D5" s="122" t="s">
        <v>48</v>
      </c>
      <c r="E5" s="122" t="s">
        <v>10</v>
      </c>
      <c r="F5" s="122" t="s">
        <v>48</v>
      </c>
      <c r="G5" s="245" t="s">
        <v>10</v>
      </c>
      <c r="H5" s="246"/>
      <c r="I5" s="122" t="s">
        <v>48</v>
      </c>
      <c r="J5" s="122" t="s">
        <v>10</v>
      </c>
      <c r="K5" s="122" t="s">
        <v>48</v>
      </c>
      <c r="L5" s="122" t="s">
        <v>10</v>
      </c>
      <c r="M5" s="122" t="s">
        <v>48</v>
      </c>
      <c r="N5" s="122" t="s">
        <v>10</v>
      </c>
      <c r="O5" s="122" t="s">
        <v>10</v>
      </c>
      <c r="P5" s="122" t="s">
        <v>48</v>
      </c>
      <c r="Q5" s="122" t="s">
        <v>10</v>
      </c>
    </row>
    <row r="6" spans="1:17" ht="19.5" customHeight="1" x14ac:dyDescent="0.2">
      <c r="A6" s="122"/>
      <c r="B6" s="123"/>
      <c r="C6" s="124"/>
      <c r="D6" s="124"/>
      <c r="E6" s="124"/>
      <c r="F6" s="124"/>
      <c r="G6" s="125" t="s">
        <v>62</v>
      </c>
      <c r="H6" s="125" t="s">
        <v>63</v>
      </c>
      <c r="I6" s="124"/>
      <c r="J6" s="124"/>
      <c r="K6" s="124"/>
      <c r="L6" s="124"/>
      <c r="M6" s="124" t="s">
        <v>39</v>
      </c>
      <c r="N6" s="124"/>
      <c r="O6" s="123"/>
      <c r="P6" s="126"/>
      <c r="Q6" s="127"/>
    </row>
    <row r="7" spans="1:17" ht="18" customHeight="1" x14ac:dyDescent="0.2">
      <c r="A7" s="128" t="s">
        <v>54</v>
      </c>
      <c r="B7" s="129">
        <f>' Fruits 2013-14(Final)'!BB3</f>
        <v>3.5500000000000003</v>
      </c>
      <c r="C7" s="129">
        <f>' Fruits 2013-14(Final)'!BC3</f>
        <v>29.73</v>
      </c>
      <c r="D7" s="129">
        <f>'Vegetables 2013-14(Final)'!AY3</f>
        <v>6.8900000000000006</v>
      </c>
      <c r="E7" s="129">
        <f>'Vegetables 2013-14(Final)'!AZ3</f>
        <v>51.79</v>
      </c>
      <c r="F7" s="129">
        <f>' Flowers 2013-14(Final)'!AL4</f>
        <v>0.13</v>
      </c>
      <c r="G7" s="129">
        <f>' Flowers 2013-14(Final)'!AM4</f>
        <v>0.29000000000000004</v>
      </c>
      <c r="H7" s="129">
        <f>' Flowers 2013-14(Final)'!AN4</f>
        <v>0</v>
      </c>
      <c r="I7" s="129"/>
      <c r="J7" s="129"/>
      <c r="K7" s="129">
        <f>SUM(' Spices 2013-14(Final)'!AJ3)</f>
        <v>1.6749999999999998</v>
      </c>
      <c r="L7" s="129">
        <f>SUM(' Spices 2013-14(Final)'!AK3)</f>
        <v>3.2199999999999998</v>
      </c>
      <c r="M7" s="129">
        <f>' Plantations 2013-14(Final)'!J3</f>
        <v>27.33</v>
      </c>
      <c r="N7" s="129">
        <f>' Plantations 2013-14(Final)'!K3</f>
        <v>95.710000000000008</v>
      </c>
      <c r="O7" s="129"/>
      <c r="P7" s="130">
        <f>B7+D7+F7+I7+K7+M7</f>
        <v>39.575000000000003</v>
      </c>
      <c r="Q7" s="130">
        <f>C7+E7+G7+H7+J7+L7+N7+O7</f>
        <v>180.74</v>
      </c>
    </row>
    <row r="8" spans="1:17" ht="18" customHeight="1" x14ac:dyDescent="0.2">
      <c r="A8" s="128" t="s">
        <v>12</v>
      </c>
      <c r="B8" s="129">
        <f>' Fruits 2013-14(Final)'!BB4</f>
        <v>640.04899999999986</v>
      </c>
      <c r="C8" s="129">
        <f>' Fruits 2013-14(Final)'!BC4</f>
        <v>10510.556</v>
      </c>
      <c r="D8" s="129">
        <f>'Vegetables 2013-14(Final)'!AY4</f>
        <v>439.64299999999997</v>
      </c>
      <c r="E8" s="129">
        <f>'Vegetables 2013-14(Final)'!AZ4</f>
        <v>8149.7619999999997</v>
      </c>
      <c r="F8" s="129">
        <f>' Flowers 2013-14(Final)'!AL5</f>
        <v>20.373000000000001</v>
      </c>
      <c r="G8" s="129">
        <f>' Flowers 2013-14(Final)'!AM5</f>
        <v>136.267</v>
      </c>
      <c r="H8" s="129">
        <f>' Flowers 2013-14(Final)'!AN5</f>
        <v>30</v>
      </c>
      <c r="I8" s="129">
        <v>1.8839999999999999</v>
      </c>
      <c r="J8" s="129">
        <v>3.51</v>
      </c>
      <c r="K8" s="129">
        <f>SUM(' Spices 2013-14(Final)'!AJ4)</f>
        <v>169.35799999999998</v>
      </c>
      <c r="L8" s="129">
        <f>SUM(' Spices 2013-14(Final)'!AK4)</f>
        <v>775.81999999999994</v>
      </c>
      <c r="M8" s="129">
        <f>' Plantations 2013-14(Final)'!J4</f>
        <v>329.58699999999999</v>
      </c>
      <c r="N8" s="129">
        <f>' Plantations 2013-14(Final)'!K4</f>
        <v>1364.6784751314303</v>
      </c>
      <c r="O8" s="129">
        <v>1.5</v>
      </c>
      <c r="P8" s="130">
        <f t="shared" ref="P8:P42" si="0">B8+D8+F8+I8+K8+M8</f>
        <v>1600.8939999999998</v>
      </c>
      <c r="Q8" s="130">
        <f t="shared" ref="Q8:Q42" si="1">C8+E8+G8+H8+J8+L8+N8+O8</f>
        <v>20972.093475131427</v>
      </c>
    </row>
    <row r="9" spans="1:17" ht="18" customHeight="1" x14ac:dyDescent="0.2">
      <c r="A9" s="128" t="s">
        <v>13</v>
      </c>
      <c r="B9" s="129">
        <f>' Fruits 2013-14(Final)'!BB5</f>
        <v>89.088999999999999</v>
      </c>
      <c r="C9" s="129">
        <f>' Fruits 2013-14(Final)'!BC5</f>
        <v>321.25700000000001</v>
      </c>
      <c r="D9" s="129">
        <f>'Vegetables 2013-14(Final)'!AY5</f>
        <v>1.4</v>
      </c>
      <c r="E9" s="129">
        <f>'Vegetables 2013-14(Final)'!AZ5</f>
        <v>35</v>
      </c>
      <c r="F9" s="129">
        <f>' Flowers 2013-14(Final)'!AL6</f>
        <v>2.3099999999999999E-2</v>
      </c>
      <c r="G9" s="129">
        <f>' Flowers 2013-14(Final)'!AM6</f>
        <v>9.7999999999999997E-3</v>
      </c>
      <c r="H9" s="129">
        <f>' Flowers 2013-14(Final)'!AN6</f>
        <v>1.862686202686203</v>
      </c>
      <c r="I9" s="129">
        <v>5.1479999999999997</v>
      </c>
      <c r="J9" s="129">
        <v>109.178</v>
      </c>
      <c r="K9" s="129">
        <f>SUM(' Spices 2013-14(Final)'!AJ5)</f>
        <v>10.17</v>
      </c>
      <c r="L9" s="129">
        <f>SUM(' Spices 2013-14(Final)'!AK5)</f>
        <v>64.27000000000001</v>
      </c>
      <c r="M9" s="129">
        <f>' Plantations 2013-14(Final)'!J5</f>
        <v>1</v>
      </c>
      <c r="N9" s="129">
        <f>' Plantations 2013-14(Final)'!K5</f>
        <v>0.56000000000000005</v>
      </c>
      <c r="O9" s="129"/>
      <c r="P9" s="130">
        <f t="shared" si="0"/>
        <v>106.8301</v>
      </c>
      <c r="Q9" s="130">
        <f t="shared" si="1"/>
        <v>532.13748620268609</v>
      </c>
    </row>
    <row r="10" spans="1:17" ht="18" customHeight="1" x14ac:dyDescent="0.2">
      <c r="A10" s="128" t="s">
        <v>14</v>
      </c>
      <c r="B10" s="129">
        <f>' Fruits 2013-14(Final)'!BB6</f>
        <v>144.678</v>
      </c>
      <c r="C10" s="129">
        <f>' Fruits 2013-14(Final)'!BC6</f>
        <v>2007.799</v>
      </c>
      <c r="D10" s="129">
        <f>'Vegetables 2013-14(Final)'!AY6</f>
        <v>281.40000000000003</v>
      </c>
      <c r="E10" s="129">
        <f>'Vegetables 2013-14(Final)'!AZ6</f>
        <v>3031.9039999999995</v>
      </c>
      <c r="F10" s="129">
        <f>' Flowers 2013-14(Final)'!AL7</f>
        <v>2.9999999999999996</v>
      </c>
      <c r="G10" s="129">
        <f>' Flowers 2013-14(Final)'!AM7</f>
        <v>20</v>
      </c>
      <c r="H10" s="129">
        <f>' Flowers 2013-14(Final)'!AN7</f>
        <v>32.694856532356532</v>
      </c>
      <c r="I10" s="129">
        <v>4.3499999999999996</v>
      </c>
      <c r="J10" s="129">
        <v>0.16</v>
      </c>
      <c r="K10" s="129">
        <f>SUM(' Spices 2013-14(Final)'!AJ6)</f>
        <v>93.082999999999998</v>
      </c>
      <c r="L10" s="129">
        <f>SUM(' Spices 2013-14(Final)'!AK6)</f>
        <v>279.14</v>
      </c>
      <c r="M10" s="129">
        <f>' Plantations 2013-14(Final)'!J6</f>
        <v>97.802999999999997</v>
      </c>
      <c r="N10" s="129">
        <f>' Plantations 2013-14(Final)'!K6</f>
        <v>174.56</v>
      </c>
      <c r="O10" s="129"/>
      <c r="P10" s="130">
        <f t="shared" si="0"/>
        <v>624.31400000000008</v>
      </c>
      <c r="Q10" s="130">
        <f t="shared" si="1"/>
        <v>5546.2578565323565</v>
      </c>
    </row>
    <row r="11" spans="1:17" ht="18" customHeight="1" x14ac:dyDescent="0.2">
      <c r="A11" s="128" t="s">
        <v>15</v>
      </c>
      <c r="B11" s="129">
        <f>' Fruits 2013-14(Final)'!BB7</f>
        <v>302.06500000000011</v>
      </c>
      <c r="C11" s="129">
        <f>' Fruits 2013-14(Final)'!BC7</f>
        <v>4013.5749999999998</v>
      </c>
      <c r="D11" s="129">
        <f>'Vegetables 2013-14(Final)'!AY7</f>
        <v>809.79900000000009</v>
      </c>
      <c r="E11" s="129">
        <f>'Vegetables 2013-14(Final)'!AZ7</f>
        <v>15097.765999999998</v>
      </c>
      <c r="F11" s="129">
        <f>' Flowers 2013-14(Final)'!AL8</f>
        <v>0.82199999999999995</v>
      </c>
      <c r="G11" s="129">
        <f>' Flowers 2013-14(Final)'!AM8</f>
        <v>7.633</v>
      </c>
      <c r="H11" s="129">
        <f>' Flowers 2013-14(Final)'!AN8</f>
        <v>2.7435192307692309</v>
      </c>
      <c r="I11" s="129">
        <v>4.5640000000000001</v>
      </c>
      <c r="J11" s="129">
        <v>0.59399999999999997</v>
      </c>
      <c r="K11" s="129">
        <f>SUM(' Spices 2013-14(Final)'!AJ7)</f>
        <v>13.010000000000002</v>
      </c>
      <c r="L11" s="129">
        <f>SUM(' Spices 2013-14(Final)'!AK7)</f>
        <v>12.54</v>
      </c>
      <c r="M11" s="129">
        <f>' Plantations 2013-14(Final)'!J7</f>
        <v>15.246</v>
      </c>
      <c r="N11" s="129">
        <f>' Plantations 2013-14(Final)'!K7</f>
        <v>97.331999999999994</v>
      </c>
      <c r="O11" s="129">
        <v>6.5</v>
      </c>
      <c r="P11" s="130">
        <f t="shared" si="0"/>
        <v>1145.5060000000003</v>
      </c>
      <c r="Q11" s="130">
        <f t="shared" si="1"/>
        <v>19238.683519230766</v>
      </c>
    </row>
    <row r="12" spans="1:17" ht="18" customHeight="1" x14ac:dyDescent="0.2">
      <c r="A12" s="128" t="s">
        <v>55</v>
      </c>
      <c r="B12" s="129">
        <f>' Fruits 2013-14(Final)'!BB8</f>
        <v>212.88999999999996</v>
      </c>
      <c r="C12" s="129">
        <f>' Fruits 2013-14(Final)'!BC8</f>
        <v>1930.1799999999998</v>
      </c>
      <c r="D12" s="129">
        <f>'Vegetables 2013-14(Final)'!AY8</f>
        <v>403.43</v>
      </c>
      <c r="E12" s="129">
        <f>'Vegetables 2013-14(Final)'!AZ8</f>
        <v>5465.92</v>
      </c>
      <c r="F12" s="129">
        <f>' Flowers 2013-14(Final)'!AL9</f>
        <v>10.129999999999999</v>
      </c>
      <c r="G12" s="129">
        <f>' Flowers 2013-14(Final)'!AM9</f>
        <v>45.73</v>
      </c>
      <c r="H12" s="129">
        <f>' Flowers 2013-14(Final)'!AN9</f>
        <v>0</v>
      </c>
      <c r="I12" s="129">
        <v>8.44</v>
      </c>
      <c r="J12" s="129">
        <v>50.25</v>
      </c>
      <c r="K12" s="129">
        <f>SUM(' Spices 2013-14(Final)'!AJ8)</f>
        <v>11.8</v>
      </c>
      <c r="L12" s="129">
        <f>SUM(' Spices 2013-14(Final)'!AK8)</f>
        <v>8.2999999999999989</v>
      </c>
      <c r="M12" s="129">
        <f>' Plantations 2013-14(Final)'!J8</f>
        <v>15.12</v>
      </c>
      <c r="N12" s="129">
        <f>' Plantations 2013-14(Final)'!K8</f>
        <v>23.96</v>
      </c>
      <c r="O12" s="129">
        <v>0.5</v>
      </c>
      <c r="P12" s="130">
        <f t="shared" si="0"/>
        <v>661.81</v>
      </c>
      <c r="Q12" s="130">
        <f t="shared" si="1"/>
        <v>7524.84</v>
      </c>
    </row>
    <row r="13" spans="1:17" ht="18" customHeight="1" x14ac:dyDescent="0.2">
      <c r="A13" s="128" t="s">
        <v>16</v>
      </c>
      <c r="B13" s="129">
        <f>' Fruits 2013-14(Final)'!BB9</f>
        <v>0</v>
      </c>
      <c r="C13" s="129">
        <f>' Fruits 2013-14(Final)'!BC9</f>
        <v>0</v>
      </c>
      <c r="D13" s="129">
        <f>'Vegetables 2013-14(Final)'!AY9</f>
        <v>1.1000000000000001</v>
      </c>
      <c r="E13" s="129">
        <f>'Vegetables 2013-14(Final)'!AZ9</f>
        <v>5.5</v>
      </c>
      <c r="F13" s="129">
        <f>' Flowers 2013-14(Final)'!AL10</f>
        <v>0</v>
      </c>
      <c r="G13" s="129">
        <f>' Flowers 2013-14(Final)'!AM10</f>
        <v>0</v>
      </c>
      <c r="H13" s="129">
        <f>' Flowers 2013-14(Final)'!AN10</f>
        <v>0</v>
      </c>
      <c r="I13" s="129"/>
      <c r="J13" s="129"/>
      <c r="K13" s="129"/>
      <c r="L13" s="129"/>
      <c r="M13" s="129">
        <f>' Plantations 2013-14(Final)'!J9</f>
        <v>0</v>
      </c>
      <c r="N13" s="129">
        <f>' Plantations 2013-14(Final)'!K9</f>
        <v>0</v>
      </c>
      <c r="O13" s="129"/>
      <c r="P13" s="130">
        <f t="shared" si="0"/>
        <v>1.1000000000000001</v>
      </c>
      <c r="Q13" s="130">
        <f t="shared" si="1"/>
        <v>5.5</v>
      </c>
    </row>
    <row r="14" spans="1:17" ht="18" customHeight="1" x14ac:dyDescent="0.2">
      <c r="A14" s="128" t="s">
        <v>17</v>
      </c>
      <c r="B14" s="129">
        <f>' Fruits 2013-14(Final)'!BB10</f>
        <v>0</v>
      </c>
      <c r="C14" s="129">
        <f>' Fruits 2013-14(Final)'!BC10</f>
        <v>0</v>
      </c>
      <c r="D14" s="129">
        <f>'Vegetables 2013-14(Final)'!AY10</f>
        <v>0</v>
      </c>
      <c r="E14" s="129">
        <f>'Vegetables 2013-14(Final)'!AZ10</f>
        <v>0</v>
      </c>
      <c r="F14" s="129">
        <f>' Flowers 2013-14(Final)'!AL11</f>
        <v>0</v>
      </c>
      <c r="G14" s="129">
        <f>' Flowers 2013-14(Final)'!AM11</f>
        <v>0</v>
      </c>
      <c r="H14" s="129">
        <f>' Flowers 2013-14(Final)'!AN11</f>
        <v>0</v>
      </c>
      <c r="I14" s="129"/>
      <c r="J14" s="129"/>
      <c r="K14" s="129"/>
      <c r="L14" s="129"/>
      <c r="M14" s="129">
        <f>' Plantations 2013-14(Final)'!J10</f>
        <v>0</v>
      </c>
      <c r="N14" s="129">
        <f>' Plantations 2013-14(Final)'!K10</f>
        <v>0</v>
      </c>
      <c r="O14" s="129"/>
      <c r="P14" s="130">
        <f t="shared" si="0"/>
        <v>0</v>
      </c>
      <c r="Q14" s="130">
        <f t="shared" si="1"/>
        <v>0</v>
      </c>
    </row>
    <row r="15" spans="1:17" ht="18" customHeight="1" x14ac:dyDescent="0.2">
      <c r="A15" s="128" t="s">
        <v>18</v>
      </c>
      <c r="B15" s="129">
        <f>' Fruits 2013-14(Final)'!BB11</f>
        <v>0</v>
      </c>
      <c r="C15" s="129">
        <f>' Fruits 2013-14(Final)'!BC11</f>
        <v>0</v>
      </c>
      <c r="D15" s="129">
        <f>'Vegetables 2013-14(Final)'!AY11</f>
        <v>27.295999999999999</v>
      </c>
      <c r="E15" s="129">
        <f>'Vegetables 2013-14(Final)'!AZ11</f>
        <v>436.94799999999998</v>
      </c>
      <c r="F15" s="129">
        <f>' Flowers 2013-14(Final)'!AL12</f>
        <v>5.5</v>
      </c>
      <c r="G15" s="129">
        <f>' Flowers 2013-14(Final)'!AM12</f>
        <v>5.7</v>
      </c>
      <c r="H15" s="129">
        <f>' Flowers 2013-14(Final)'!AN12</f>
        <v>5.7666666666666702</v>
      </c>
      <c r="I15" s="129"/>
      <c r="J15" s="129"/>
      <c r="K15" s="129"/>
      <c r="L15" s="129"/>
      <c r="M15" s="129">
        <f>' Plantations 2013-14(Final)'!J11</f>
        <v>0</v>
      </c>
      <c r="N15" s="129">
        <f>' Plantations 2013-14(Final)'!K11</f>
        <v>0</v>
      </c>
      <c r="O15" s="129"/>
      <c r="P15" s="130">
        <f t="shared" si="0"/>
        <v>32.795999999999999</v>
      </c>
      <c r="Q15" s="130">
        <f t="shared" si="1"/>
        <v>448.41466666666662</v>
      </c>
    </row>
    <row r="16" spans="1:17" ht="18" customHeight="1" x14ac:dyDescent="0.2">
      <c r="A16" s="128" t="s">
        <v>19</v>
      </c>
      <c r="B16" s="129">
        <f>' Fruits 2013-14(Final)'!BB12</f>
        <v>11.276999999999999</v>
      </c>
      <c r="C16" s="129">
        <f>' Fruits 2013-14(Final)'!BC12</f>
        <v>81.191000000000003</v>
      </c>
      <c r="D16" s="129">
        <f>'Vegetables 2013-14(Final)'!AY12</f>
        <v>7.0039999999999996</v>
      </c>
      <c r="E16" s="129">
        <f>'Vegetables 2013-14(Final)'!AZ12</f>
        <v>79.92</v>
      </c>
      <c r="F16" s="129">
        <f>' Flowers 2013-14(Final)'!AL13</f>
        <v>6.5000000000000006E-3</v>
      </c>
      <c r="G16" s="129">
        <f>' Flowers 2013-14(Final)'!AM13</f>
        <v>2.3E-2</v>
      </c>
      <c r="H16" s="129">
        <f>' Flowers 2013-14(Final)'!AN13</f>
        <v>0.10041880341880342</v>
      </c>
      <c r="I16" s="129"/>
      <c r="J16" s="129"/>
      <c r="K16" s="129">
        <f>SUM(' Spices 2013-14(Final)'!AJ9)</f>
        <v>0.91</v>
      </c>
      <c r="L16" s="129">
        <f>SUM(' Spices 2013-14(Final)'!AK9)</f>
        <v>0.28000000000000003</v>
      </c>
      <c r="M16" s="129">
        <f>' Plantations 2013-14(Final)'!J12</f>
        <v>85.460000000000008</v>
      </c>
      <c r="N16" s="129">
        <f>' Plantations 2013-14(Final)'!K12</f>
        <v>123.43</v>
      </c>
      <c r="O16" s="129"/>
      <c r="P16" s="130">
        <f t="shared" si="0"/>
        <v>104.6575</v>
      </c>
      <c r="Q16" s="130">
        <f t="shared" si="1"/>
        <v>284.94441880341878</v>
      </c>
    </row>
    <row r="17" spans="1:17" ht="18" customHeight="1" x14ac:dyDescent="0.2">
      <c r="A17" s="128" t="s">
        <v>20</v>
      </c>
      <c r="B17" s="129">
        <f>' Fruits 2013-14(Final)'!BB13</f>
        <v>370.76</v>
      </c>
      <c r="C17" s="129">
        <f>' Fruits 2013-14(Final)'!BC13</f>
        <v>8001.9599999999982</v>
      </c>
      <c r="D17" s="129">
        <f>'Vegetables 2013-14(Final)'!AY13</f>
        <v>582.28</v>
      </c>
      <c r="E17" s="129">
        <f>'Vegetables 2013-14(Final)'!AZ13</f>
        <v>11571.24</v>
      </c>
      <c r="F17" s="129">
        <f>' Flowers 2013-14(Final)'!AL14</f>
        <v>17.3</v>
      </c>
      <c r="G17" s="129">
        <f>' Flowers 2013-14(Final)'!AM14</f>
        <v>163.60000000000002</v>
      </c>
      <c r="H17" s="129">
        <f>' Flowers 2013-14(Final)'!AN14</f>
        <v>0</v>
      </c>
      <c r="I17" s="129"/>
      <c r="J17" s="129"/>
      <c r="K17" s="129">
        <f>SUM(' Spices 2013-14(Final)'!AJ10)</f>
        <v>541.81500000000005</v>
      </c>
      <c r="L17" s="129">
        <f>SUM(' Spices 2013-14(Final)'!AK10)</f>
        <v>848.48</v>
      </c>
      <c r="M17" s="129">
        <f>' Plantations 2013-14(Final)'!J13</f>
        <v>39.6</v>
      </c>
      <c r="N17" s="129">
        <f>' Plantations 2013-14(Final)'!K13</f>
        <v>227.57000000000002</v>
      </c>
      <c r="O17" s="129">
        <v>0.1</v>
      </c>
      <c r="P17" s="130">
        <f t="shared" si="0"/>
        <v>1551.7549999999999</v>
      </c>
      <c r="Q17" s="130">
        <f t="shared" si="1"/>
        <v>20812.949999999993</v>
      </c>
    </row>
    <row r="18" spans="1:17" ht="18" customHeight="1" x14ac:dyDescent="0.2">
      <c r="A18" s="128" t="s">
        <v>21</v>
      </c>
      <c r="B18" s="129">
        <f>' Fruits 2013-14(Final)'!BB14</f>
        <v>50.589999999999996</v>
      </c>
      <c r="C18" s="129">
        <f>' Fruits 2013-14(Final)'!BC14</f>
        <v>554.90000000000009</v>
      </c>
      <c r="D18" s="129">
        <f>'Vegetables 2013-14(Final)'!AY14</f>
        <v>373.17</v>
      </c>
      <c r="E18" s="129">
        <f>'Vegetables 2013-14(Final)'!AZ14</f>
        <v>5565.9</v>
      </c>
      <c r="F18" s="129">
        <f>' Flowers 2013-14(Final)'!AL15</f>
        <v>6.48</v>
      </c>
      <c r="G18" s="129">
        <f>' Flowers 2013-14(Final)'!AM15</f>
        <v>65.45</v>
      </c>
      <c r="H18" s="129">
        <f>' Flowers 2013-14(Final)'!AN15</f>
        <v>11.255218253968254</v>
      </c>
      <c r="I18" s="129">
        <v>1.76</v>
      </c>
      <c r="J18" s="129">
        <v>1.1399999999999999</v>
      </c>
      <c r="K18" s="129">
        <f>SUM(' Spices 2013-14(Final)'!AJ11)</f>
        <v>16.125</v>
      </c>
      <c r="L18" s="129">
        <f>SUM(' Spices 2013-14(Final)'!AK11)</f>
        <v>82.82</v>
      </c>
      <c r="M18" s="129">
        <f>' Plantations 2013-14(Final)'!J14</f>
        <v>0</v>
      </c>
      <c r="N18" s="129">
        <f>' Plantations 2013-14(Final)'!K14</f>
        <v>0</v>
      </c>
      <c r="O18" s="129">
        <v>4</v>
      </c>
      <c r="P18" s="130">
        <f t="shared" si="0"/>
        <v>448.125</v>
      </c>
      <c r="Q18" s="130">
        <f t="shared" si="1"/>
        <v>6285.4652182539676</v>
      </c>
    </row>
    <row r="19" spans="1:17" ht="18" customHeight="1" x14ac:dyDescent="0.2">
      <c r="A19" s="128" t="s">
        <v>22</v>
      </c>
      <c r="B19" s="129">
        <f>' Fruits 2013-14(Final)'!BB15</f>
        <v>220.70599999999999</v>
      </c>
      <c r="C19" s="129">
        <f>' Fruits 2013-14(Final)'!BC15</f>
        <v>866.34400000000005</v>
      </c>
      <c r="D19" s="129">
        <f>'Vegetables 2013-14(Final)'!AY15</f>
        <v>86.600000000000009</v>
      </c>
      <c r="E19" s="129">
        <f>'Vegetables 2013-14(Final)'!AZ15</f>
        <v>1635.875</v>
      </c>
      <c r="F19" s="129">
        <f>' Flowers 2013-14(Final)'!AL16</f>
        <v>0.82299999999999995</v>
      </c>
      <c r="G19" s="129">
        <f>' Flowers 2013-14(Final)'!AM16</f>
        <v>28.139299999999999</v>
      </c>
      <c r="H19" s="129">
        <f>' Flowers 2013-14(Final)'!AN16</f>
        <v>12.358117384004883</v>
      </c>
      <c r="I19" s="129">
        <v>1.1100000000000001</v>
      </c>
      <c r="J19" s="129">
        <v>0.89709000000000005</v>
      </c>
      <c r="K19" s="129">
        <f>SUM(' Spices 2013-14(Final)'!AJ12)</f>
        <v>8.4300000000000015</v>
      </c>
      <c r="L19" s="129">
        <f>SUM(' Spices 2013-14(Final)'!AK12)</f>
        <v>14.16</v>
      </c>
      <c r="M19" s="129">
        <f>' Plantations 2013-14(Final)'!J15</f>
        <v>0</v>
      </c>
      <c r="N19" s="129">
        <f>' Plantations 2013-14(Final)'!K15</f>
        <v>0</v>
      </c>
      <c r="O19" s="129">
        <v>5</v>
      </c>
      <c r="P19" s="130">
        <f t="shared" si="0"/>
        <v>317.66899999999998</v>
      </c>
      <c r="Q19" s="130">
        <f t="shared" si="1"/>
        <v>2562.7735073840045</v>
      </c>
    </row>
    <row r="20" spans="1:17" ht="18" customHeight="1" x14ac:dyDescent="0.2">
      <c r="A20" s="128" t="s">
        <v>23</v>
      </c>
      <c r="B20" s="129">
        <f>' Fruits 2013-14(Final)'!BB16</f>
        <v>355.20499999999998</v>
      </c>
      <c r="C20" s="129">
        <f>' Fruits 2013-14(Final)'!BC16</f>
        <v>2073.9439999999995</v>
      </c>
      <c r="D20" s="129">
        <f>'Vegetables 2013-14(Final)'!AY16</f>
        <v>63.056999999999988</v>
      </c>
      <c r="E20" s="129">
        <f>'Vegetables 2013-14(Final)'!AZ16</f>
        <v>1395.4720000000002</v>
      </c>
      <c r="F20" s="129">
        <f>' Flowers 2013-14(Final)'!AL17</f>
        <v>0.75487000000000004</v>
      </c>
      <c r="G20" s="129">
        <f>' Flowers 2013-14(Final)'!AM17</f>
        <v>0.42039699999999997</v>
      </c>
      <c r="H20" s="129">
        <f>' Flowers 2013-14(Final)'!AN17</f>
        <v>1.8188501404151405</v>
      </c>
      <c r="I20" s="129"/>
      <c r="J20" s="129"/>
      <c r="K20" s="129">
        <f>SUM(' Spices 2013-14(Final)'!AJ13)</f>
        <v>4.944</v>
      </c>
      <c r="L20" s="129">
        <f>SUM(' Spices 2013-14(Final)'!AK13)</f>
        <v>1.07</v>
      </c>
      <c r="M20" s="129">
        <f>' Plantations 2013-14(Final)'!J16</f>
        <v>0</v>
      </c>
      <c r="N20" s="129">
        <f>' Plantations 2013-14(Final)'!K16</f>
        <v>0</v>
      </c>
      <c r="O20" s="129">
        <v>2.5</v>
      </c>
      <c r="P20" s="130">
        <f t="shared" si="0"/>
        <v>423.96086999999994</v>
      </c>
      <c r="Q20" s="130">
        <f t="shared" si="1"/>
        <v>3475.2252471404149</v>
      </c>
    </row>
    <row r="21" spans="1:17" ht="18" customHeight="1" x14ac:dyDescent="0.2">
      <c r="A21" s="128" t="s">
        <v>24</v>
      </c>
      <c r="B21" s="129">
        <f>' Fruits 2013-14(Final)'!BB17</f>
        <v>94.03</v>
      </c>
      <c r="C21" s="129">
        <f>' Fruits 2013-14(Final)'!BC17</f>
        <v>890.03499999999997</v>
      </c>
      <c r="D21" s="129">
        <f>'Vegetables 2013-14(Final)'!AY17</f>
        <v>313.60970000000003</v>
      </c>
      <c r="E21" s="129">
        <f>'Vegetables 2013-14(Final)'!AZ17</f>
        <v>4238.1309999999994</v>
      </c>
      <c r="F21" s="129">
        <f>' Flowers 2013-14(Final)'!AL18</f>
        <v>1.6</v>
      </c>
      <c r="G21" s="129">
        <f>' Flowers 2013-14(Final)'!AM18</f>
        <v>22.026</v>
      </c>
      <c r="H21" s="129">
        <f>' Flowers 2013-14(Final)'!AN18</f>
        <v>9.5055555555555564</v>
      </c>
      <c r="I21" s="129"/>
      <c r="J21" s="129"/>
      <c r="K21" s="129">
        <f>SUM(' Spices 2013-14(Final)'!AJ14)</f>
        <v>0</v>
      </c>
      <c r="L21" s="129">
        <f>SUM(' Spices 2013-14(Final)'!AK14)</f>
        <v>0</v>
      </c>
      <c r="M21" s="129">
        <f>' Plantations 2013-14(Final)'!J17</f>
        <v>13.824999999999999</v>
      </c>
      <c r="N21" s="129">
        <f>' Plantations 2013-14(Final)'!K17</f>
        <v>4.5999999999999996</v>
      </c>
      <c r="O21" s="129">
        <v>1.2</v>
      </c>
      <c r="P21" s="130">
        <f t="shared" si="0"/>
        <v>423.06470000000007</v>
      </c>
      <c r="Q21" s="130">
        <f t="shared" si="1"/>
        <v>5165.4975555555548</v>
      </c>
    </row>
    <row r="22" spans="1:17" ht="18" customHeight="1" x14ac:dyDescent="0.2">
      <c r="A22" s="128" t="s">
        <v>25</v>
      </c>
      <c r="B22" s="129">
        <f>' Fruits 2013-14(Final)'!BB18</f>
        <v>396.00000000000006</v>
      </c>
      <c r="C22" s="129">
        <f>' Fruits 2013-14(Final)'!BC18</f>
        <v>6652.42</v>
      </c>
      <c r="D22" s="129">
        <f>'Vegetables 2013-14(Final)'!AY18</f>
        <v>418.69000000000005</v>
      </c>
      <c r="E22" s="129">
        <f>'Vegetables 2013-14(Final)'!AZ18</f>
        <v>7500.6900000000005</v>
      </c>
      <c r="F22" s="129">
        <f>' Flowers 2013-14(Final)'!AL19</f>
        <v>30.6</v>
      </c>
      <c r="G22" s="129">
        <f>' Flowers 2013-14(Final)'!AM19</f>
        <v>211.5</v>
      </c>
      <c r="H22" s="129">
        <f>' Flowers 2013-14(Final)'!AN19</f>
        <v>71.527662087912091</v>
      </c>
      <c r="I22" s="129">
        <v>3.7</v>
      </c>
      <c r="J22" s="129">
        <v>21.1</v>
      </c>
      <c r="K22" s="129">
        <f>SUM(' Spices 2013-14(Final)'!AJ15)</f>
        <v>191.791</v>
      </c>
      <c r="L22" s="129">
        <f>SUM(' Spices 2013-14(Final)'!AK15)</f>
        <v>333.82999999999993</v>
      </c>
      <c r="M22" s="129">
        <f>' Plantations 2013-14(Final)'!J18</f>
        <v>870.56299999999987</v>
      </c>
      <c r="N22" s="129">
        <f>' Plantations 2013-14(Final)'!K18</f>
        <v>3901.002</v>
      </c>
      <c r="O22" s="129">
        <v>2</v>
      </c>
      <c r="P22" s="130">
        <f t="shared" si="0"/>
        <v>1911.3440000000001</v>
      </c>
      <c r="Q22" s="130">
        <f t="shared" si="1"/>
        <v>18694.069662087913</v>
      </c>
    </row>
    <row r="23" spans="1:17" ht="18" customHeight="1" x14ac:dyDescent="0.2">
      <c r="A23" s="128" t="s">
        <v>26</v>
      </c>
      <c r="B23" s="129">
        <f>' Fruits 2013-14(Final)'!BB19</f>
        <v>376.947</v>
      </c>
      <c r="C23" s="129">
        <f>' Fruits 2013-14(Final)'!BC19</f>
        <v>2889.5029999999997</v>
      </c>
      <c r="D23" s="129">
        <f>'Vegetables 2013-14(Final)'!AY19</f>
        <v>147.69400000000002</v>
      </c>
      <c r="E23" s="129">
        <f>'Vegetables 2013-14(Final)'!AZ19</f>
        <v>3572.6729999999998</v>
      </c>
      <c r="F23" s="129">
        <f>' Flowers 2013-14(Final)'!AL20</f>
        <v>0</v>
      </c>
      <c r="G23" s="129">
        <f>' Flowers 2013-14(Final)'!AM20</f>
        <v>0</v>
      </c>
      <c r="H23" s="129">
        <f>' Flowers 2013-14(Final)'!AN20</f>
        <v>0</v>
      </c>
      <c r="I23" s="129"/>
      <c r="J23" s="129"/>
      <c r="K23" s="129">
        <f>SUM(' Spices 2013-14(Final)'!AJ16)</f>
        <v>166.95599999999999</v>
      </c>
      <c r="L23" s="129">
        <f>SUM(' Spices 2013-14(Final)'!AK16)</f>
        <v>114.06</v>
      </c>
      <c r="M23" s="129">
        <f>' Plantations 2013-14(Final)'!J19</f>
        <v>997.70800000000008</v>
      </c>
      <c r="N23" s="129">
        <f>' Plantations 2013-14(Final)'!K19</f>
        <v>4307.17</v>
      </c>
      <c r="O23" s="129">
        <v>2</v>
      </c>
      <c r="P23" s="130">
        <f t="shared" si="0"/>
        <v>1689.3050000000003</v>
      </c>
      <c r="Q23" s="130">
        <f t="shared" si="1"/>
        <v>10885.405999999999</v>
      </c>
    </row>
    <row r="24" spans="1:17" ht="18" customHeight="1" x14ac:dyDescent="0.2">
      <c r="A24" s="128" t="s">
        <v>56</v>
      </c>
      <c r="B24" s="129">
        <f>' Fruits 2013-14(Final)'!BB20</f>
        <v>0.22200000000000003</v>
      </c>
      <c r="C24" s="129">
        <f>' Fruits 2013-14(Final)'!BC20</f>
        <v>0.48344999999999999</v>
      </c>
      <c r="D24" s="129">
        <f>'Vegetables 2013-14(Final)'!AY20</f>
        <v>0.2505</v>
      </c>
      <c r="E24" s="129">
        <f>'Vegetables 2013-14(Final)'!AZ20</f>
        <v>0.33059000000000005</v>
      </c>
      <c r="F24" s="129">
        <f>' Flowers 2013-14(Final)'!AL21</f>
        <v>0</v>
      </c>
      <c r="G24" s="129">
        <f>' Flowers 2013-14(Final)'!AM21</f>
        <v>0</v>
      </c>
      <c r="H24" s="129">
        <f>' Flowers 2013-14(Final)'!AN21</f>
        <v>0</v>
      </c>
      <c r="I24" s="129"/>
      <c r="J24" s="129"/>
      <c r="K24" s="129"/>
      <c r="L24" s="129"/>
      <c r="M24" s="129">
        <f>' Plantations 2013-14(Final)'!J20</f>
        <v>2.57</v>
      </c>
      <c r="N24" s="129">
        <f>' Plantations 2013-14(Final)'!K20</f>
        <v>48.8</v>
      </c>
      <c r="O24" s="129"/>
      <c r="P24" s="130">
        <f t="shared" si="0"/>
        <v>3.0425</v>
      </c>
      <c r="Q24" s="130">
        <f t="shared" si="1"/>
        <v>49.614039999999996</v>
      </c>
    </row>
    <row r="25" spans="1:17" ht="18" customHeight="1" x14ac:dyDescent="0.2">
      <c r="A25" s="128" t="s">
        <v>27</v>
      </c>
      <c r="B25" s="129">
        <f>' Fruits 2013-14(Final)'!BB21</f>
        <v>203.78600000000003</v>
      </c>
      <c r="C25" s="129">
        <f>' Fruits 2013-14(Final)'!BC21</f>
        <v>5695.9990000000007</v>
      </c>
      <c r="D25" s="129">
        <f>'Vegetables 2013-14(Final)'!AY21</f>
        <v>628.72400000000005</v>
      </c>
      <c r="E25" s="129">
        <f>'Vegetables 2013-14(Final)'!AZ21</f>
        <v>13019.31</v>
      </c>
      <c r="F25" s="129">
        <f>' Flowers 2013-14(Final)'!AL22</f>
        <v>17.064</v>
      </c>
      <c r="G25" s="129">
        <f>' Flowers 2013-14(Final)'!AM22</f>
        <v>200.39400000000001</v>
      </c>
      <c r="H25" s="129">
        <f>' Flowers 2013-14(Final)'!AN22</f>
        <v>0</v>
      </c>
      <c r="I25" s="129">
        <v>63.95</v>
      </c>
      <c r="J25" s="129">
        <v>404.6</v>
      </c>
      <c r="K25" s="129">
        <f>SUM(' Spices 2013-14(Final)'!AJ17)</f>
        <v>284.90999999999997</v>
      </c>
      <c r="L25" s="129">
        <f>SUM(' Spices 2013-14(Final)'!AK17)</f>
        <v>454.16999999999996</v>
      </c>
      <c r="M25" s="129">
        <f>' Plantations 2013-14(Final)'!J21</f>
        <v>0</v>
      </c>
      <c r="N25" s="129">
        <f>' Plantations 2013-14(Final)'!K21</f>
        <v>0</v>
      </c>
      <c r="O25" s="129">
        <v>1.5</v>
      </c>
      <c r="P25" s="130">
        <f t="shared" si="0"/>
        <v>1198.4340000000002</v>
      </c>
      <c r="Q25" s="130">
        <f t="shared" si="1"/>
        <v>19775.972999999998</v>
      </c>
    </row>
    <row r="26" spans="1:17" ht="18" customHeight="1" x14ac:dyDescent="0.2">
      <c r="A26" s="128" t="s">
        <v>28</v>
      </c>
      <c r="B26" s="129">
        <f>' Fruits 2013-14(Final)'!BB22</f>
        <v>1565</v>
      </c>
      <c r="C26" s="129">
        <f>' Fruits 2013-14(Final)'!BC22</f>
        <v>13457.92</v>
      </c>
      <c r="D26" s="129">
        <f>'Vegetables 2013-14(Final)'!AY22</f>
        <v>726</v>
      </c>
      <c r="E26" s="129">
        <f>'Vegetables 2013-14(Final)'!AZ22</f>
        <v>10161.83</v>
      </c>
      <c r="F26" s="129">
        <f>' Flowers 2013-14(Final)'!AL23</f>
        <v>23</v>
      </c>
      <c r="G26" s="129">
        <f>' Flowers 2013-14(Final)'!AM23</f>
        <v>122.64999999999999</v>
      </c>
      <c r="H26" s="129">
        <f>' Flowers 2013-14(Final)'!AN23</f>
        <v>43.966666666666669</v>
      </c>
      <c r="I26" s="129"/>
      <c r="J26" s="129"/>
      <c r="K26" s="129">
        <f>SUM(' Spices 2013-14(Final)'!AJ18)</f>
        <v>120.76</v>
      </c>
      <c r="L26" s="129">
        <f>SUM(' Spices 2013-14(Final)'!AK18)</f>
        <v>109.04</v>
      </c>
      <c r="M26" s="129">
        <f>' Plantations 2013-14(Final)'!J22</f>
        <v>214.48199999999997</v>
      </c>
      <c r="N26" s="129">
        <f>' Plantations 2013-14(Final)'!K22</f>
        <v>368.8</v>
      </c>
      <c r="O26" s="129">
        <v>1</v>
      </c>
      <c r="P26" s="130">
        <f t="shared" si="0"/>
        <v>2649.2420000000002</v>
      </c>
      <c r="Q26" s="130">
        <f t="shared" si="1"/>
        <v>24265.206666666669</v>
      </c>
    </row>
    <row r="27" spans="1:17" ht="18" customHeight="1" x14ac:dyDescent="0.2">
      <c r="A27" s="128" t="s">
        <v>29</v>
      </c>
      <c r="B27" s="129">
        <f>' Fruits 2013-14(Final)'!BB23</f>
        <v>54.05</v>
      </c>
      <c r="C27" s="129">
        <f>' Fruits 2013-14(Final)'!BC23</f>
        <v>515.69000000000005</v>
      </c>
      <c r="D27" s="129">
        <f>'Vegetables 2013-14(Final)'!AY23</f>
        <v>25.189999999999998</v>
      </c>
      <c r="E27" s="129">
        <f>'Vegetables 2013-14(Final)'!AZ23</f>
        <v>271.03999999999996</v>
      </c>
      <c r="F27" s="129">
        <f>' Flowers 2013-14(Final)'!AL24</f>
        <v>0.76</v>
      </c>
      <c r="G27" s="129">
        <f>' Flowers 2013-14(Final)'!AM24</f>
        <v>0.28199999999999997</v>
      </c>
      <c r="H27" s="129">
        <f>' Flowers 2013-14(Final)'!AN24</f>
        <v>9.7777777777777776E-3</v>
      </c>
      <c r="I27" s="129"/>
      <c r="J27" s="129"/>
      <c r="K27" s="129">
        <f>SUM(' Spices 2013-14(Final)'!AJ19)</f>
        <v>10.47</v>
      </c>
      <c r="L27" s="129">
        <f>SUM(' Spices 2013-14(Final)'!AK19)</f>
        <v>24.14</v>
      </c>
      <c r="M27" s="129">
        <f>' Plantations 2013-14(Final)'!J23</f>
        <v>0.9</v>
      </c>
      <c r="N27" s="129">
        <f>' Plantations 2013-14(Final)'!K23</f>
        <v>1.5</v>
      </c>
      <c r="O27" s="129"/>
      <c r="P27" s="130">
        <f t="shared" si="0"/>
        <v>91.37</v>
      </c>
      <c r="Q27" s="130">
        <f t="shared" si="1"/>
        <v>812.66177777777784</v>
      </c>
    </row>
    <row r="28" spans="1:17" ht="18" customHeight="1" x14ac:dyDescent="0.2">
      <c r="A28" s="128" t="s">
        <v>30</v>
      </c>
      <c r="B28" s="129">
        <f>' Fruits 2013-14(Final)'!BB24</f>
        <v>35.302999999999997</v>
      </c>
      <c r="C28" s="129">
        <f>' Fruits 2013-14(Final)'!BC24</f>
        <v>347.99799999999999</v>
      </c>
      <c r="D28" s="129">
        <f>'Vegetables 2013-14(Final)'!AY24</f>
        <v>43.602000000000004</v>
      </c>
      <c r="E28" s="129">
        <f>'Vegetables 2013-14(Final)'!AZ24</f>
        <v>515.34100000000001</v>
      </c>
      <c r="F28" s="129">
        <f>' Flowers 2013-14(Final)'!AL25</f>
        <v>5.2000000000000005E-2</v>
      </c>
      <c r="G28" s="129">
        <f>' Flowers 2013-14(Final)'!AM25</f>
        <v>0</v>
      </c>
      <c r="H28" s="129">
        <f>' Flowers 2013-14(Final)'!AN25</f>
        <v>2.3715048840048838</v>
      </c>
      <c r="I28" s="129"/>
      <c r="J28" s="129"/>
      <c r="K28" s="129">
        <f>SUM(' Spices 2013-14(Final)'!AJ20)</f>
        <v>17.501999999999999</v>
      </c>
      <c r="L28" s="129">
        <f>SUM(' Spices 2013-14(Final)'!AK20)</f>
        <v>83.88</v>
      </c>
      <c r="M28" s="129">
        <f>' Plantations 2013-14(Final)'!J24</f>
        <v>25.61</v>
      </c>
      <c r="N28" s="129">
        <f>' Plantations 2013-14(Final)'!K24</f>
        <v>29.4</v>
      </c>
      <c r="O28" s="129"/>
      <c r="P28" s="130">
        <f t="shared" si="0"/>
        <v>122.069</v>
      </c>
      <c r="Q28" s="130">
        <f t="shared" si="1"/>
        <v>978.99050488400485</v>
      </c>
    </row>
    <row r="29" spans="1:17" ht="18" customHeight="1" x14ac:dyDescent="0.2">
      <c r="A29" s="128" t="s">
        <v>31</v>
      </c>
      <c r="B29" s="129">
        <f>' Fruits 2013-14(Final)'!BB25</f>
        <v>57.551000000000002</v>
      </c>
      <c r="C29" s="129">
        <f>' Fruits 2013-14(Final)'!BC25</f>
        <v>343.89499999999992</v>
      </c>
      <c r="D29" s="129">
        <f>'Vegetables 2013-14(Final)'!AY25</f>
        <v>41.097000000000001</v>
      </c>
      <c r="E29" s="129">
        <f>'Vegetables 2013-14(Final)'!AZ25</f>
        <v>254.13900000000004</v>
      </c>
      <c r="F29" s="129">
        <f>' Flowers 2013-14(Final)'!AL26</f>
        <v>0.19800000000000001</v>
      </c>
      <c r="G29" s="129">
        <f>' Flowers 2013-14(Final)'!AM26</f>
        <v>171.57</v>
      </c>
      <c r="H29" s="129">
        <f>' Flowers 2013-14(Final)'!AN26</f>
        <v>1.2269719169719169</v>
      </c>
      <c r="I29" s="129">
        <v>1.1100000000000001</v>
      </c>
      <c r="J29" s="129">
        <v>0.89709000000000005</v>
      </c>
      <c r="K29" s="129">
        <f>SUM(' Spices 2013-14(Final)'!AJ21)</f>
        <v>22.470000000000002</v>
      </c>
      <c r="L29" s="129">
        <f>SUM(' Spices 2013-14(Final)'!AK21)</f>
        <v>59.61999999999999</v>
      </c>
      <c r="M29" s="129">
        <f>' Plantations 2013-14(Final)'!J25</f>
        <v>7.6020000000000003</v>
      </c>
      <c r="N29" s="129">
        <f>' Plantations 2013-14(Final)'!K25</f>
        <v>4.4039999999999999</v>
      </c>
      <c r="O29" s="129"/>
      <c r="P29" s="130">
        <f t="shared" si="0"/>
        <v>130.02799999999999</v>
      </c>
      <c r="Q29" s="130">
        <f t="shared" si="1"/>
        <v>835.75206191697202</v>
      </c>
    </row>
    <row r="30" spans="1:17" ht="18" customHeight="1" x14ac:dyDescent="0.2">
      <c r="A30" s="128" t="s">
        <v>32</v>
      </c>
      <c r="B30" s="129">
        <f>' Fruits 2013-14(Final)'!BB26</f>
        <v>40.556999999999988</v>
      </c>
      <c r="C30" s="129">
        <f>' Fruits 2013-14(Final)'!BC26</f>
        <v>410.995</v>
      </c>
      <c r="D30" s="129">
        <f>'Vegetables 2013-14(Final)'!AY26</f>
        <v>38.549999999999997</v>
      </c>
      <c r="E30" s="129">
        <f>'Vegetables 2013-14(Final)'!AZ26</f>
        <v>492.37400000000002</v>
      </c>
      <c r="F30" s="129">
        <f>' Flowers 2013-14(Final)'!AL27</f>
        <v>9.6800000000000011E-3</v>
      </c>
      <c r="G30" s="129">
        <f>' Flowers 2013-14(Final)'!AM27</f>
        <v>0</v>
      </c>
      <c r="H30" s="129">
        <f>' Flowers 2013-14(Final)'!AN27</f>
        <v>0.35986495726495726</v>
      </c>
      <c r="I30" s="129"/>
      <c r="J30" s="129"/>
      <c r="K30" s="129">
        <f>SUM(' Spices 2013-14(Final)'!AJ22)</f>
        <v>9.77</v>
      </c>
      <c r="L30" s="129">
        <f>SUM(' Spices 2013-14(Final)'!AK22)</f>
        <v>39.159999999999997</v>
      </c>
      <c r="M30" s="129">
        <f>' Plantations 2013-14(Final)'!J26</f>
        <v>1.67</v>
      </c>
      <c r="N30" s="129">
        <f>' Plantations 2013-14(Final)'!K26</f>
        <v>11.35</v>
      </c>
      <c r="O30" s="129"/>
      <c r="P30" s="130">
        <f t="shared" si="0"/>
        <v>90.556679999999986</v>
      </c>
      <c r="Q30" s="130">
        <f t="shared" si="1"/>
        <v>954.23886495726492</v>
      </c>
    </row>
    <row r="31" spans="1:17" ht="18" customHeight="1" x14ac:dyDescent="0.2">
      <c r="A31" s="128" t="s">
        <v>189</v>
      </c>
      <c r="B31" s="129">
        <f>' Fruits 2013-14(Final)'!BB27</f>
        <v>325.86</v>
      </c>
      <c r="C31" s="129">
        <f>' Fruits 2013-14(Final)'!BC27</f>
        <v>2148.27</v>
      </c>
      <c r="D31" s="129">
        <f>'Vegetables 2013-14(Final)'!AY27</f>
        <v>677.33</v>
      </c>
      <c r="E31" s="129">
        <f>'Vegetables 2013-14(Final)'!AZ27</f>
        <v>9433.6600000000017</v>
      </c>
      <c r="F31" s="129">
        <f>' Flowers 2013-14(Final)'!AL28</f>
        <v>7.44</v>
      </c>
      <c r="G31" s="129">
        <f>' Flowers 2013-14(Final)'!AM28</f>
        <v>37.4</v>
      </c>
      <c r="H31" s="129">
        <f>' Flowers 2013-14(Final)'!AN28</f>
        <v>57.399572649572654</v>
      </c>
      <c r="I31" s="129">
        <v>1.921</v>
      </c>
      <c r="J31" s="129">
        <v>0.64</v>
      </c>
      <c r="K31" s="129">
        <f>SUM(' Spices 2013-14(Final)'!AJ23)</f>
        <v>123.32400000000001</v>
      </c>
      <c r="L31" s="129">
        <f>SUM(' Spices 2013-14(Final)'!AK23)</f>
        <v>181.5</v>
      </c>
      <c r="M31" s="129">
        <f>' Plantations 2013-14(Final)'!J27</f>
        <v>217.69</v>
      </c>
      <c r="N31" s="129">
        <f>' Plantations 2013-14(Final)'!K27</f>
        <v>309.33999999999997</v>
      </c>
      <c r="O31" s="129">
        <v>0.75</v>
      </c>
      <c r="P31" s="130">
        <f t="shared" si="0"/>
        <v>1353.5650000000003</v>
      </c>
      <c r="Q31" s="130">
        <f t="shared" si="1"/>
        <v>12168.959572649574</v>
      </c>
    </row>
    <row r="32" spans="1:17" ht="18" customHeight="1" x14ac:dyDescent="0.2">
      <c r="A32" s="128" t="s">
        <v>167</v>
      </c>
      <c r="B32" s="129">
        <f>' Fruits 2013-14(Final)'!BB28</f>
        <v>0.64100000000000013</v>
      </c>
      <c r="C32" s="129">
        <f>' Fruits 2013-14(Final)'!BC28</f>
        <v>12.578999999999999</v>
      </c>
      <c r="D32" s="129">
        <f>'Vegetables 2013-14(Final)'!AY28</f>
        <v>0.90400000000000003</v>
      </c>
      <c r="E32" s="129">
        <f>'Vegetables 2013-14(Final)'!AZ28</f>
        <v>16.259</v>
      </c>
      <c r="F32" s="129">
        <f>' Flowers 2013-14(Final)'!AL29</f>
        <v>0.14050000000000001</v>
      </c>
      <c r="G32" s="129">
        <f>' Flowers 2013-14(Final)'!AM29</f>
        <v>1.1970000000000001</v>
      </c>
      <c r="H32" s="129">
        <f>' Flowers 2013-14(Final)'!AN29</f>
        <v>0</v>
      </c>
      <c r="I32" s="129"/>
      <c r="J32" s="129"/>
      <c r="K32" s="129">
        <f>SUM(' Spices 2013-14(Final)'!AJ24)</f>
        <v>0.09</v>
      </c>
      <c r="L32" s="129">
        <f>SUM(' Spices 2013-14(Final)'!AK24)</f>
        <v>0.38</v>
      </c>
      <c r="M32" s="129">
        <f>' Plantations 2013-14(Final)'!J28</f>
        <v>7.0179999999999998</v>
      </c>
      <c r="N32" s="129">
        <f>' Plantations 2013-14(Final)'!K28</f>
        <v>26.54</v>
      </c>
      <c r="O32" s="129"/>
      <c r="P32" s="130">
        <f t="shared" si="0"/>
        <v>8.7934999999999999</v>
      </c>
      <c r="Q32" s="130">
        <f t="shared" si="1"/>
        <v>56.954999999999998</v>
      </c>
    </row>
    <row r="33" spans="1:17" ht="18" customHeight="1" x14ac:dyDescent="0.2">
      <c r="A33" s="128" t="s">
        <v>33</v>
      </c>
      <c r="B33" s="129">
        <f>' Fruits 2013-14(Final)'!BB29</f>
        <v>76.591999999999999</v>
      </c>
      <c r="C33" s="129">
        <f>' Fruits 2013-14(Final)'!BC29</f>
        <v>1541.2440000000001</v>
      </c>
      <c r="D33" s="129">
        <f>'Vegetables 2013-14(Final)'!AY29</f>
        <v>191.02100000000002</v>
      </c>
      <c r="E33" s="129">
        <f>'Vegetables 2013-14(Final)'!AZ29</f>
        <v>3936.1889999999994</v>
      </c>
      <c r="F33" s="129">
        <f>' Flowers 2013-14(Final)'!AL30</f>
        <v>1.351</v>
      </c>
      <c r="G33" s="129">
        <f>' Flowers 2013-14(Final)'!AM30</f>
        <v>10.462999999999999</v>
      </c>
      <c r="H33" s="129">
        <f>' Flowers 2013-14(Final)'!AN30</f>
        <v>0</v>
      </c>
      <c r="I33" s="129">
        <v>14.005000000000001</v>
      </c>
      <c r="J33" s="129">
        <v>2.5139999999999998</v>
      </c>
      <c r="K33" s="129">
        <f>SUM(' Spices 2013-14(Final)'!AJ25)</f>
        <v>19.13</v>
      </c>
      <c r="L33" s="129">
        <f>SUM(' Spices 2013-14(Final)'!AK25)</f>
        <v>70.92</v>
      </c>
      <c r="M33" s="129">
        <f>' Plantations 2013-14(Final)'!J29</f>
        <v>0</v>
      </c>
      <c r="N33" s="129">
        <f>' Plantations 2013-14(Final)'!K29</f>
        <v>0</v>
      </c>
      <c r="O33" s="129">
        <v>14</v>
      </c>
      <c r="P33" s="130">
        <f t="shared" si="0"/>
        <v>302.09899999999999</v>
      </c>
      <c r="Q33" s="130">
        <f t="shared" si="1"/>
        <v>5575.329999999999</v>
      </c>
    </row>
    <row r="34" spans="1:17" ht="18" customHeight="1" x14ac:dyDescent="0.2">
      <c r="A34" s="128" t="s">
        <v>34</v>
      </c>
      <c r="B34" s="129">
        <f>' Fruits 2013-14(Final)'!BB30</f>
        <v>37.396999999999998</v>
      </c>
      <c r="C34" s="129">
        <f>' Fruits 2013-14(Final)'!BC30</f>
        <v>581.77599999999984</v>
      </c>
      <c r="D34" s="129">
        <f>'Vegetables 2013-14(Final)'!AY30</f>
        <v>148.88</v>
      </c>
      <c r="E34" s="129">
        <f>'Vegetables 2013-14(Final)'!AZ30</f>
        <v>1114.0700000000002</v>
      </c>
      <c r="F34" s="129">
        <f>' Flowers 2013-14(Final)'!AL31</f>
        <v>2.5299999999999998</v>
      </c>
      <c r="G34" s="129">
        <f>' Flowers 2013-14(Final)'!AM31</f>
        <v>2.73</v>
      </c>
      <c r="H34" s="129">
        <f>' Flowers 2013-14(Final)'!AN31</f>
        <v>0</v>
      </c>
      <c r="I34" s="129">
        <v>231.24</v>
      </c>
      <c r="J34" s="129">
        <v>124.30200000000001</v>
      </c>
      <c r="K34" s="129">
        <f>SUM(' Spices 2013-14(Final)'!AJ26)</f>
        <v>819.51199999999994</v>
      </c>
      <c r="L34" s="129">
        <f>SUM(' Spices 2013-14(Final)'!AK26)</f>
        <v>674.84</v>
      </c>
      <c r="M34" s="129">
        <f>' Plantations 2013-14(Final)'!J30</f>
        <v>0</v>
      </c>
      <c r="N34" s="129">
        <f>' Plantations 2013-14(Final)'!K30</f>
        <v>0</v>
      </c>
      <c r="O34" s="129">
        <v>1.8</v>
      </c>
      <c r="P34" s="130">
        <f t="shared" si="0"/>
        <v>1239.559</v>
      </c>
      <c r="Q34" s="130">
        <f t="shared" si="1"/>
        <v>2499.518</v>
      </c>
    </row>
    <row r="35" spans="1:17" ht="18" customHeight="1" x14ac:dyDescent="0.2">
      <c r="A35" s="128" t="s">
        <v>35</v>
      </c>
      <c r="B35" s="129">
        <f>' Fruits 2013-14(Final)'!BB31</f>
        <v>16.024000000000001</v>
      </c>
      <c r="C35" s="129">
        <f>' Fruits 2013-14(Final)'!BC31</f>
        <v>24.048999999999999</v>
      </c>
      <c r="D35" s="129">
        <f>'Vegetables 2013-14(Final)'!AY31</f>
        <v>26.112000000000002</v>
      </c>
      <c r="E35" s="129">
        <f>'Vegetables 2013-14(Final)'!AZ31</f>
        <v>134.52600000000001</v>
      </c>
      <c r="F35" s="129">
        <f>' Flowers 2013-14(Final)'!AL32</f>
        <v>0.23599999999999999</v>
      </c>
      <c r="G35" s="129">
        <f>' Flowers 2013-14(Final)'!AM32</f>
        <v>16</v>
      </c>
      <c r="H35" s="129">
        <f>' Flowers 2013-14(Final)'!AN32</f>
        <v>1.8800152625152626</v>
      </c>
      <c r="I35" s="129"/>
      <c r="J35" s="129"/>
      <c r="K35" s="129">
        <f>SUM(' Spices 2013-14(Final)'!AJ27)</f>
        <v>32.06</v>
      </c>
      <c r="L35" s="129">
        <f>SUM(' Spices 2013-14(Final)'!AK27)</f>
        <v>55.8</v>
      </c>
      <c r="M35" s="129">
        <f>' Plantations 2013-14(Final)'!J31</f>
        <v>0</v>
      </c>
      <c r="N35" s="129">
        <f>' Plantations 2013-14(Final)'!K31</f>
        <v>0</v>
      </c>
      <c r="O35" s="129"/>
      <c r="P35" s="130">
        <f t="shared" si="0"/>
        <v>74.432000000000002</v>
      </c>
      <c r="Q35" s="130">
        <f t="shared" si="1"/>
        <v>232.25501526251526</v>
      </c>
    </row>
    <row r="36" spans="1:17" ht="18" customHeight="1" x14ac:dyDescent="0.2">
      <c r="A36" s="128" t="s">
        <v>57</v>
      </c>
      <c r="B36" s="129">
        <f>' Fruits 2013-14(Final)'!BB32</f>
        <v>328.54500000000007</v>
      </c>
      <c r="C36" s="129">
        <f>' Fruits 2013-14(Final)'!BC32</f>
        <v>7369.86</v>
      </c>
      <c r="D36" s="129">
        <f>'Vegetables 2013-14(Final)'!AY32</f>
        <v>289.74</v>
      </c>
      <c r="E36" s="129">
        <f>'Vegetables 2013-14(Final)'!AZ32</f>
        <v>8678.82</v>
      </c>
      <c r="F36" s="129">
        <f>' Flowers 2013-14(Final)'!AL33</f>
        <v>55.03</v>
      </c>
      <c r="G36" s="129">
        <f>' Flowers 2013-14(Final)'!AM33</f>
        <v>343.65</v>
      </c>
      <c r="H36" s="129">
        <f>' Flowers 2013-14(Final)'!AN33</f>
        <v>12.873911111111111</v>
      </c>
      <c r="I36" s="129">
        <v>16.37</v>
      </c>
      <c r="J36" s="129">
        <v>162.12</v>
      </c>
      <c r="K36" s="129">
        <f>SUM(' Spices 2013-14(Final)'!AJ28)</f>
        <v>165.99700000000001</v>
      </c>
      <c r="L36" s="129">
        <f>SUM(' Spices 2013-14(Final)'!AK28)</f>
        <v>554.52</v>
      </c>
      <c r="M36" s="129">
        <f>' Plantations 2013-14(Final)'!J32</f>
        <v>634.54700000000003</v>
      </c>
      <c r="N36" s="129">
        <f>' Plantations 2013-14(Final)'!K32</f>
        <v>4842.3310000000001</v>
      </c>
      <c r="O36" s="129">
        <v>1.5</v>
      </c>
      <c r="P36" s="130">
        <f t="shared" si="0"/>
        <v>1490.229</v>
      </c>
      <c r="Q36" s="130">
        <f t="shared" si="1"/>
        <v>21965.674911111113</v>
      </c>
    </row>
    <row r="37" spans="1:17" ht="18" customHeight="1" x14ac:dyDescent="0.2">
      <c r="A37" s="128" t="s">
        <v>241</v>
      </c>
      <c r="B37" s="129">
        <f>' Fruits 2013-14(Final)'!BB33</f>
        <v>364.48</v>
      </c>
      <c r="C37" s="129">
        <f>' Fruits 2013-14(Final)'!BC33</f>
        <v>4440.9760000000006</v>
      </c>
      <c r="D37" s="129">
        <f>'Vegetables 2013-14(Final)'!AY33</f>
        <v>220.94100000000003</v>
      </c>
      <c r="E37" s="129">
        <f>'Vegetables 2013-14(Final)'!AZ33</f>
        <v>3647.2749999999996</v>
      </c>
      <c r="F37" s="129">
        <f>' Flowers 2013-14(Final)'!AL34</f>
        <v>6.8890000000000002</v>
      </c>
      <c r="G37" s="129">
        <f>' Flowers 2013-14(Final)'!AM34</f>
        <v>40.683999999999997</v>
      </c>
      <c r="H37" s="129">
        <f>' Flowers 2013-14(Final)'!AN34</f>
        <v>35.112087912087915</v>
      </c>
      <c r="I37" s="129"/>
      <c r="J37" s="129"/>
      <c r="K37" s="129">
        <f>' Spices 2013-14(Final)'!AJ29</f>
        <v>134.18100000000001</v>
      </c>
      <c r="L37" s="129">
        <f>' Spices 2013-14(Final)'!AK29</f>
        <v>551.46999999999991</v>
      </c>
      <c r="M37" s="129">
        <f>' Plantations 2013-14(Final)'!J33</f>
        <v>1.6060000000000001</v>
      </c>
      <c r="N37" s="129">
        <f>' Plantations 2013-14(Final)'!K33</f>
        <v>16.576000000000001</v>
      </c>
      <c r="O37" s="129"/>
      <c r="P37" s="130">
        <f t="shared" si="0"/>
        <v>728.09700000000009</v>
      </c>
      <c r="Q37" s="130">
        <f t="shared" si="1"/>
        <v>8732.0930879120879</v>
      </c>
    </row>
    <row r="38" spans="1:17" ht="18" customHeight="1" x14ac:dyDescent="0.2">
      <c r="A38" s="128" t="s">
        <v>37</v>
      </c>
      <c r="B38" s="129">
        <f>' Fruits 2013-14(Final)'!BB34</f>
        <v>68.38</v>
      </c>
      <c r="C38" s="129">
        <f>' Fruits 2013-14(Final)'!BC34</f>
        <v>786.35</v>
      </c>
      <c r="D38" s="129">
        <f>'Vegetables 2013-14(Final)'!AY34</f>
        <v>46.689999999999991</v>
      </c>
      <c r="E38" s="129">
        <f>'Vegetables 2013-14(Final)'!AZ34</f>
        <v>780.52</v>
      </c>
      <c r="F38" s="129">
        <f>' Flowers 2013-14(Final)'!AL35</f>
        <v>0</v>
      </c>
      <c r="G38" s="129">
        <f>' Flowers 2013-14(Final)'!AM35</f>
        <v>0</v>
      </c>
      <c r="H38" s="129">
        <f>' Flowers 2013-14(Final)'!AN35</f>
        <v>0</v>
      </c>
      <c r="I38" s="129"/>
      <c r="J38" s="129"/>
      <c r="K38" s="129">
        <f>SUM(' Spices 2013-14(Final)'!AJ30)</f>
        <v>5.69</v>
      </c>
      <c r="L38" s="129">
        <f>SUM(' Spices 2013-14(Final)'!AK30)</f>
        <v>18.04</v>
      </c>
      <c r="M38" s="129">
        <f>' Plantations 2013-14(Final)'!J34</f>
        <v>15.81</v>
      </c>
      <c r="N38" s="129">
        <f>' Plantations 2013-14(Final)'!K34</f>
        <v>32.200000000000003</v>
      </c>
      <c r="O38" s="129"/>
      <c r="P38" s="130">
        <f t="shared" si="0"/>
        <v>136.57</v>
      </c>
      <c r="Q38" s="130">
        <f t="shared" si="1"/>
        <v>1617.11</v>
      </c>
    </row>
    <row r="39" spans="1:17" ht="18" customHeight="1" x14ac:dyDescent="0.2">
      <c r="A39" s="128" t="s">
        <v>38</v>
      </c>
      <c r="B39" s="129">
        <f>' Fruits 2013-14(Final)'!BB35</f>
        <v>378.96499999999997</v>
      </c>
      <c r="C39" s="129">
        <f>' Fruits 2013-14(Final)'!BC35</f>
        <v>6887.4539999999997</v>
      </c>
      <c r="D39" s="129">
        <f>'Vegetables 2013-14(Final)'!AY35</f>
        <v>859.37999999999988</v>
      </c>
      <c r="E39" s="129">
        <f>'Vegetables 2013-14(Final)'!AZ35</f>
        <v>18544.956999999999</v>
      </c>
      <c r="F39" s="129">
        <f>' Flowers 2013-14(Final)'!AL36</f>
        <v>16.577999999999999</v>
      </c>
      <c r="G39" s="129">
        <f>' Flowers 2013-14(Final)'!AM36</f>
        <v>32.158999999999999</v>
      </c>
      <c r="H39" s="129">
        <f>' Flowers 2013-14(Final)'!AN36</f>
        <v>54.058653846153845</v>
      </c>
      <c r="I39" s="129">
        <v>133.69999999999999</v>
      </c>
      <c r="J39" s="129">
        <v>13.4</v>
      </c>
      <c r="K39" s="129">
        <f>SUM(' Spices 2013-14(Final)'!AJ31)</f>
        <v>61.662999999999997</v>
      </c>
      <c r="L39" s="129">
        <f>SUM(' Spices 2013-14(Final)'!AK31)</f>
        <v>244.01999999999998</v>
      </c>
      <c r="M39" s="129">
        <f>' Plantations 2013-14(Final)'!J35</f>
        <v>0</v>
      </c>
      <c r="N39" s="129">
        <f>' Plantations 2013-14(Final)'!K35</f>
        <v>0</v>
      </c>
      <c r="O39" s="129">
        <v>12.5</v>
      </c>
      <c r="P39" s="130">
        <f t="shared" si="0"/>
        <v>1450.2859999999998</v>
      </c>
      <c r="Q39" s="130">
        <f t="shared" si="1"/>
        <v>25788.548653846156</v>
      </c>
    </row>
    <row r="40" spans="1:17" ht="18" customHeight="1" x14ac:dyDescent="0.2">
      <c r="A40" s="128" t="s">
        <v>90</v>
      </c>
      <c r="B40" s="129">
        <f>' Fruits 2013-14(Final)'!BB36</f>
        <v>171.62300000000002</v>
      </c>
      <c r="C40" s="129">
        <f>' Fruits 2013-14(Final)'!BC36</f>
        <v>678.49199999999996</v>
      </c>
      <c r="D40" s="129">
        <f>'Vegetables 2013-14(Final)'!AY36</f>
        <v>88.283999999999992</v>
      </c>
      <c r="E40" s="129">
        <f>'Vegetables 2013-14(Final)'!AZ36</f>
        <v>1016.8290000000001</v>
      </c>
      <c r="F40" s="129">
        <f>' Flowers 2013-14(Final)'!AL37</f>
        <v>1.35138</v>
      </c>
      <c r="G40" s="129">
        <f>' Flowers 2013-14(Final)'!AM37</f>
        <v>2.024</v>
      </c>
      <c r="H40" s="129">
        <f>' Flowers 2013-14(Final)'!AN37</f>
        <v>8.4474952380952377</v>
      </c>
      <c r="I40" s="129"/>
      <c r="J40" s="129"/>
      <c r="K40" s="129">
        <f>SUM(' Spices 2013-14(Final)'!AJ32)</f>
        <v>8.0850000000000009</v>
      </c>
      <c r="L40" s="129">
        <f>SUM(' Spices 2013-14(Final)'!AK32)</f>
        <v>41.08</v>
      </c>
      <c r="M40" s="129">
        <f>' Plantations 2013-14(Final)'!J36</f>
        <v>0</v>
      </c>
      <c r="N40" s="129">
        <f>' Plantations 2013-14(Final)'!K36</f>
        <v>0</v>
      </c>
      <c r="O40" s="129">
        <v>1.8</v>
      </c>
      <c r="P40" s="130">
        <f t="shared" si="0"/>
        <v>269.34338000000002</v>
      </c>
      <c r="Q40" s="130">
        <f t="shared" si="1"/>
        <v>1748.6724952380948</v>
      </c>
    </row>
    <row r="41" spans="1:17" ht="18" customHeight="1" x14ac:dyDescent="0.2">
      <c r="A41" s="128" t="s">
        <v>40</v>
      </c>
      <c r="B41" s="129">
        <f>' Fruits 2013-14(Final)'!BB37</f>
        <v>223.49999999999997</v>
      </c>
      <c r="C41" s="129">
        <f>' Fruits 2013-14(Final)'!BC37</f>
        <v>2909.71</v>
      </c>
      <c r="D41" s="129">
        <f>'Vegetables 2013-14(Final)'!AY37</f>
        <v>1380.299</v>
      </c>
      <c r="E41" s="129">
        <f>'Vegetables 2013-14(Final)'!AZ37</f>
        <v>23044.950000000004</v>
      </c>
      <c r="F41" s="129">
        <f>' Flowers 2013-14(Final)'!AL38</f>
        <v>24.85</v>
      </c>
      <c r="G41" s="129">
        <f>' Flowers 2013-14(Final)'!AM38</f>
        <v>66.5</v>
      </c>
      <c r="H41" s="129">
        <f>' Flowers 2013-14(Final)'!AN38</f>
        <v>145.19444444444446</v>
      </c>
      <c r="I41" s="129"/>
      <c r="J41" s="129"/>
      <c r="K41" s="129">
        <f>SUM(' Spices 2013-14(Final)'!AJ33)</f>
        <v>97.559999999999988</v>
      </c>
      <c r="L41" s="129">
        <f>SUM(' Spices 2013-14(Final)'!AK33)</f>
        <v>207.72</v>
      </c>
      <c r="M41" s="129">
        <f>' Plantations 2013-14(Final)'!J37</f>
        <v>51.85</v>
      </c>
      <c r="N41" s="129">
        <f>' Plantations 2013-14(Final)'!K37</f>
        <v>289.40999999999997</v>
      </c>
      <c r="O41" s="129">
        <v>15</v>
      </c>
      <c r="P41" s="130">
        <f t="shared" si="0"/>
        <v>1778.0589999999997</v>
      </c>
      <c r="Q41" s="130">
        <f t="shared" si="1"/>
        <v>26678.48444444445</v>
      </c>
    </row>
    <row r="42" spans="1:17" ht="18" customHeight="1" x14ac:dyDescent="0.2">
      <c r="A42" s="128" t="s">
        <v>75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1</v>
      </c>
      <c r="P42" s="130">
        <f t="shared" si="0"/>
        <v>0</v>
      </c>
      <c r="Q42" s="130">
        <f t="shared" si="1"/>
        <v>1</v>
      </c>
    </row>
    <row r="43" spans="1:17" ht="20.25" customHeight="1" x14ac:dyDescent="0.2">
      <c r="A43" s="128" t="s">
        <v>9</v>
      </c>
      <c r="B43" s="130">
        <f>SUM(B7:B42)</f>
        <v>7216.3120000000008</v>
      </c>
      <c r="C43" s="130">
        <f t="shared" ref="C43:Q43" si="2">SUM(C7:C42)</f>
        <v>88977.134449999998</v>
      </c>
      <c r="D43" s="130">
        <f t="shared" si="2"/>
        <v>9396.0571999999993</v>
      </c>
      <c r="E43" s="130">
        <f t="shared" si="2"/>
        <v>162896.91059000001</v>
      </c>
      <c r="F43" s="130">
        <f t="shared" si="2"/>
        <v>255.02202999999997</v>
      </c>
      <c r="G43" s="130">
        <f t="shared" si="2"/>
        <v>1754.4914969999998</v>
      </c>
      <c r="H43" s="130">
        <f t="shared" si="2"/>
        <v>542.53451752442004</v>
      </c>
      <c r="I43" s="130">
        <f t="shared" si="2"/>
        <v>493.25200000000001</v>
      </c>
      <c r="J43" s="130">
        <f t="shared" si="2"/>
        <v>895.30218000000002</v>
      </c>
      <c r="K43" s="130">
        <f t="shared" si="2"/>
        <v>3163.241</v>
      </c>
      <c r="L43" s="130">
        <f t="shared" si="2"/>
        <v>5908.29</v>
      </c>
      <c r="M43" s="130">
        <f t="shared" si="2"/>
        <v>3674.5970000000007</v>
      </c>
      <c r="N43" s="130">
        <f t="shared" si="2"/>
        <v>16301.22347513143</v>
      </c>
      <c r="O43" s="130">
        <f t="shared" si="2"/>
        <v>76.149999999999991</v>
      </c>
      <c r="P43" s="130">
        <f t="shared" si="2"/>
        <v>24198.481230000001</v>
      </c>
      <c r="Q43" s="130">
        <f t="shared" si="2"/>
        <v>277352.03670965583</v>
      </c>
    </row>
    <row r="44" spans="1:17" ht="14.25" customHeight="1" x14ac:dyDescent="0.2">
      <c r="A44" s="131" t="s">
        <v>182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3"/>
      <c r="N44" s="133"/>
      <c r="O44" s="133"/>
    </row>
    <row r="45" spans="1:17" ht="14.25" customHeight="1" x14ac:dyDescent="0.2">
      <c r="A45" s="244" t="s">
        <v>210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134"/>
    </row>
    <row r="46" spans="1:17" ht="14.25" customHeight="1" x14ac:dyDescent="0.2">
      <c r="A46" s="134" t="s">
        <v>180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pans="1:17" ht="14.25" customHeight="1" x14ac:dyDescent="0.2">
      <c r="A47" s="135" t="s">
        <v>296</v>
      </c>
      <c r="B47" s="135"/>
      <c r="C47" s="135"/>
      <c r="D47" s="135"/>
      <c r="E47" s="135"/>
      <c r="F47" s="135"/>
    </row>
  </sheetData>
  <mergeCells count="12">
    <mergeCell ref="A1:Q1"/>
    <mergeCell ref="A2:Q2"/>
    <mergeCell ref="A3:Q3"/>
    <mergeCell ref="A45:N45"/>
    <mergeCell ref="G5:H5"/>
    <mergeCell ref="K4:L4"/>
    <mergeCell ref="M4:N4"/>
    <mergeCell ref="P4:Q4"/>
    <mergeCell ref="B4:C4"/>
    <mergeCell ref="D4:E4"/>
    <mergeCell ref="F4:H4"/>
    <mergeCell ref="I4:J4"/>
  </mergeCells>
  <phoneticPr fontId="20" type="noConversion"/>
  <printOptions horizontalCentered="1" verticalCentered="1"/>
  <pageMargins left="0.2" right="0.25" top="0.5" bottom="0.25" header="0.5" footer="0.25"/>
  <pageSetup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opLeftCell="A28" workbookViewId="0">
      <selection activeCell="B39" sqref="B39"/>
    </sheetView>
  </sheetViews>
  <sheetFormatPr defaultRowHeight="12.75" x14ac:dyDescent="0.2"/>
  <cols>
    <col min="1" max="1" width="23.7109375" style="104" customWidth="1"/>
    <col min="2" max="11" width="13.28515625" style="104" customWidth="1"/>
    <col min="12" max="16384" width="9.140625" style="104"/>
  </cols>
  <sheetData>
    <row r="1" spans="1:11" ht="15.75" x14ac:dyDescent="0.25">
      <c r="A1" s="55" t="s">
        <v>202</v>
      </c>
      <c r="B1" s="304" t="s">
        <v>109</v>
      </c>
      <c r="C1" s="304"/>
      <c r="D1" s="305" t="s">
        <v>219</v>
      </c>
      <c r="E1" s="305"/>
      <c r="F1" s="306" t="s">
        <v>181</v>
      </c>
      <c r="G1" s="307"/>
      <c r="H1" s="304" t="s">
        <v>110</v>
      </c>
      <c r="I1" s="304"/>
      <c r="J1" s="304" t="s">
        <v>9</v>
      </c>
      <c r="K1" s="304"/>
    </row>
    <row r="2" spans="1:11" ht="15.75" x14ac:dyDescent="0.25">
      <c r="A2" s="9"/>
      <c r="B2" s="10" t="s">
        <v>48</v>
      </c>
      <c r="C2" s="10" t="s">
        <v>10</v>
      </c>
      <c r="D2" s="10" t="s">
        <v>48</v>
      </c>
      <c r="E2" s="10" t="s">
        <v>10</v>
      </c>
      <c r="F2" s="10" t="s">
        <v>48</v>
      </c>
      <c r="G2" s="10" t="s">
        <v>10</v>
      </c>
      <c r="H2" s="10" t="s">
        <v>48</v>
      </c>
      <c r="I2" s="10" t="s">
        <v>10</v>
      </c>
      <c r="J2" s="10" t="s">
        <v>48</v>
      </c>
      <c r="K2" s="10" t="s">
        <v>10</v>
      </c>
    </row>
    <row r="3" spans="1:11" ht="15.75" x14ac:dyDescent="0.25">
      <c r="A3" s="11" t="s">
        <v>11</v>
      </c>
      <c r="B3" s="12">
        <f>(' Citrus 2013-14(Final)'!B3-'3rd Citrus 2013-14'!B3)/'3rd Citrus 2013-14'!B3*100</f>
        <v>0</v>
      </c>
      <c r="C3" s="12">
        <f>(' Citrus 2013-14(Final)'!C3-'3rd Citrus 2013-14'!C3)/'3rd Citrus 2013-14'!C3*100</f>
        <v>0</v>
      </c>
      <c r="D3" s="12">
        <f>(' Citrus 2013-14(Final)'!D3-'3rd Citrus 2013-14'!D3)/'3rd Citrus 2013-14'!D3*100</f>
        <v>0</v>
      </c>
      <c r="E3" s="12">
        <f>(' Citrus 2013-14(Final)'!E3-'3rd Citrus 2013-14'!E3)/'3rd Citrus 2013-14'!E3*100</f>
        <v>0</v>
      </c>
      <c r="F3" s="12">
        <f>(' Citrus 2013-14(Final)'!F3-'3rd Citrus 2013-14'!F3)/'3rd Citrus 2013-14'!F3*100</f>
        <v>0</v>
      </c>
      <c r="G3" s="12">
        <f>(' Citrus 2013-14(Final)'!G3-'3rd Citrus 2013-14'!G3)/'3rd Citrus 2013-14'!G3*100</f>
        <v>0</v>
      </c>
      <c r="H3" s="12"/>
      <c r="I3" s="12"/>
      <c r="J3" s="13">
        <f>B3+D3+F3+H3</f>
        <v>0</v>
      </c>
      <c r="K3" s="13">
        <f>C3+E3+G3+I3</f>
        <v>0</v>
      </c>
    </row>
    <row r="4" spans="1:11" ht="15.75" x14ac:dyDescent="0.25">
      <c r="A4" s="11" t="s">
        <v>12</v>
      </c>
      <c r="B4" s="12">
        <f>(' Citrus 2013-14(Final)'!B4-'3rd Citrus 2013-14'!B4)/'3rd Citrus 2013-14'!B4*100</f>
        <v>-23.8757715293426</v>
      </c>
      <c r="C4" s="12">
        <f>(' Citrus 2013-14(Final)'!C4-'3rd Citrus 2013-14'!C4)/'3rd Citrus 2013-14'!C4*100</f>
        <v>-23.876884812684594</v>
      </c>
      <c r="D4" s="12"/>
      <c r="E4" s="12"/>
      <c r="F4" s="12">
        <f>(' Citrus 2013-14(Final)'!F4-'3rd Citrus 2013-14'!F4)/'3rd Citrus 2013-14'!F4*100</f>
        <v>-53.340213213156353</v>
      </c>
      <c r="G4" s="12">
        <f>(' Citrus 2013-14(Final)'!G4-'3rd Citrus 2013-14'!G4)/'3rd Citrus 2013-14'!G4*100</f>
        <v>-55.006644327299902</v>
      </c>
      <c r="H4" s="12"/>
      <c r="I4" s="12"/>
      <c r="J4" s="13">
        <f t="shared" ref="J4:K37" si="0">B4+D4+F4+H4</f>
        <v>-77.215984742498961</v>
      </c>
      <c r="K4" s="13">
        <f t="shared" si="0"/>
        <v>-78.883529139984489</v>
      </c>
    </row>
    <row r="5" spans="1:11" ht="15.75" x14ac:dyDescent="0.25">
      <c r="A5" s="14" t="s">
        <v>13</v>
      </c>
      <c r="B5" s="12"/>
      <c r="C5" s="12"/>
      <c r="D5" s="12"/>
      <c r="E5" s="12"/>
      <c r="F5" s="12"/>
      <c r="G5" s="12"/>
      <c r="H5" s="12">
        <f>(' Citrus 2013-14(Final)'!H5-'3rd Citrus 2013-14'!H5)/'3rd Citrus 2013-14'!H5*100</f>
        <v>1.0031096398848652E-2</v>
      </c>
      <c r="I5" s="12">
        <f>(' Citrus 2013-14(Final)'!I5-'3rd Citrus 2013-14'!I5)/'3rd Citrus 2013-14'!I5*100</f>
        <v>0</v>
      </c>
      <c r="J5" s="13">
        <f t="shared" si="0"/>
        <v>1.0031096398848652E-2</v>
      </c>
      <c r="K5" s="13">
        <f t="shared" si="0"/>
        <v>0</v>
      </c>
    </row>
    <row r="6" spans="1:11" ht="15.75" x14ac:dyDescent="0.25">
      <c r="A6" s="11" t="s">
        <v>14</v>
      </c>
      <c r="B6" s="12">
        <f>(' Citrus 2013-14(Final)'!B6-'3rd Citrus 2013-14'!B6)/'3rd Citrus 2013-14'!B6*100</f>
        <v>-9.602118319280887</v>
      </c>
      <c r="C6" s="12">
        <f>(' Citrus 2013-14(Final)'!C6-'3rd Citrus 2013-14'!C6)/'3rd Citrus 2013-14'!C6*100</f>
        <v>-21.97838661267091</v>
      </c>
      <c r="D6" s="12">
        <f>(' Citrus 2013-14(Final)'!D6-'3rd Citrus 2013-14'!D6)/'3rd Citrus 2013-14'!D6*100</f>
        <v>-5.6822969963281711</v>
      </c>
      <c r="E6" s="12">
        <f>(' Citrus 2013-14(Final)'!E6-'3rd Citrus 2013-14'!E6)/'3rd Citrus 2013-14'!E6*100</f>
        <v>-11.619382022471905</v>
      </c>
      <c r="F6" s="12">
        <f>(' Citrus 2013-14(Final)'!F6-'3rd Citrus 2013-14'!F6)/'3rd Citrus 2013-14'!F6*100</f>
        <v>0</v>
      </c>
      <c r="G6" s="12">
        <f>(' Citrus 2013-14(Final)'!G6-'3rd Citrus 2013-14'!G6)/'3rd Citrus 2013-14'!G6*100</f>
        <v>0</v>
      </c>
      <c r="H6" s="12"/>
      <c r="I6" s="12"/>
      <c r="J6" s="13">
        <f t="shared" si="0"/>
        <v>-15.284415315609058</v>
      </c>
      <c r="K6" s="13">
        <f t="shared" si="0"/>
        <v>-33.597768635142813</v>
      </c>
    </row>
    <row r="7" spans="1:11" ht="15.75" x14ac:dyDescent="0.25">
      <c r="A7" s="11" t="s">
        <v>15</v>
      </c>
      <c r="B7" s="12">
        <f>(' Citrus 2013-14(Final)'!B7-'3rd Citrus 2013-14'!B7)/'3rd Citrus 2013-14'!B7*100</f>
        <v>-1.1562603237528759</v>
      </c>
      <c r="C7" s="12">
        <f>(' Citrus 2013-14(Final)'!C7-'3rd Citrus 2013-14'!C7)/'3rd Citrus 2013-14'!C7*100</f>
        <v>-5.5039146116177529</v>
      </c>
      <c r="D7" s="12"/>
      <c r="E7" s="12"/>
      <c r="F7" s="12"/>
      <c r="G7" s="12"/>
      <c r="H7" s="12"/>
      <c r="I7" s="12"/>
      <c r="J7" s="13">
        <f t="shared" si="0"/>
        <v>-1.1562603237528759</v>
      </c>
      <c r="K7" s="13">
        <f t="shared" si="0"/>
        <v>-5.5039146116177529</v>
      </c>
    </row>
    <row r="8" spans="1:11" ht="15.75" x14ac:dyDescent="0.25">
      <c r="A8" s="11" t="s">
        <v>55</v>
      </c>
      <c r="B8" s="12">
        <f>(' Citrus 2013-14(Final)'!B8-'3rd Citrus 2013-14'!B8)/'3rd Citrus 2013-14'!B8*100</f>
        <v>0</v>
      </c>
      <c r="C8" s="12">
        <f>(' Citrus 2013-14(Final)'!C8-'3rd Citrus 2013-14'!C8)/'3rd Citrus 2013-14'!C8*100</f>
        <v>0</v>
      </c>
      <c r="D8" s="12"/>
      <c r="E8" s="12"/>
      <c r="F8" s="12">
        <f>(' Citrus 2013-14(Final)'!F8-'3rd Citrus 2013-14'!F8)/'3rd Citrus 2013-14'!F8*100</f>
        <v>0</v>
      </c>
      <c r="G8" s="12">
        <f>(' Citrus 2013-14(Final)'!G8-'3rd Citrus 2013-14'!G8)/'3rd Citrus 2013-14'!G8*100</f>
        <v>0</v>
      </c>
      <c r="H8" s="12"/>
      <c r="I8" s="12"/>
      <c r="J8" s="13">
        <f t="shared" si="0"/>
        <v>0</v>
      </c>
      <c r="K8" s="13">
        <f t="shared" si="0"/>
        <v>0</v>
      </c>
    </row>
    <row r="9" spans="1:11" ht="15.75" x14ac:dyDescent="0.25">
      <c r="A9" s="11" t="s">
        <v>16</v>
      </c>
      <c r="B9" s="12"/>
      <c r="C9" s="12"/>
      <c r="D9" s="12"/>
      <c r="E9" s="12"/>
      <c r="F9" s="12"/>
      <c r="G9" s="12"/>
      <c r="H9" s="12"/>
      <c r="I9" s="12"/>
      <c r="J9" s="13">
        <f t="shared" si="0"/>
        <v>0</v>
      </c>
      <c r="K9" s="13">
        <f t="shared" si="0"/>
        <v>0</v>
      </c>
    </row>
    <row r="10" spans="1:11" ht="15.75" x14ac:dyDescent="0.25">
      <c r="A10" s="11" t="s">
        <v>17</v>
      </c>
      <c r="B10" s="12"/>
      <c r="C10" s="12"/>
      <c r="D10" s="12"/>
      <c r="E10" s="12"/>
      <c r="F10" s="12"/>
      <c r="G10" s="12"/>
      <c r="H10" s="12"/>
      <c r="I10" s="12"/>
      <c r="J10" s="13">
        <f t="shared" si="0"/>
        <v>0</v>
      </c>
      <c r="K10" s="13">
        <f t="shared" si="0"/>
        <v>0</v>
      </c>
    </row>
    <row r="11" spans="1:11" ht="15.75" x14ac:dyDescent="0.25">
      <c r="A11" s="11" t="s">
        <v>18</v>
      </c>
      <c r="B11" s="12"/>
      <c r="C11" s="12"/>
      <c r="D11" s="12"/>
      <c r="E11" s="12"/>
      <c r="F11" s="12"/>
      <c r="G11" s="12"/>
      <c r="H11" s="12"/>
      <c r="I11" s="12"/>
      <c r="J11" s="13">
        <f t="shared" si="0"/>
        <v>0</v>
      </c>
      <c r="K11" s="13">
        <f t="shared" si="0"/>
        <v>0</v>
      </c>
    </row>
    <row r="12" spans="1:11" ht="15.75" x14ac:dyDescent="0.25">
      <c r="A12" s="11" t="s">
        <v>19</v>
      </c>
      <c r="B12" s="12"/>
      <c r="C12" s="12"/>
      <c r="D12" s="12"/>
      <c r="E12" s="12"/>
      <c r="F12" s="12"/>
      <c r="G12" s="12"/>
      <c r="H12" s="12"/>
      <c r="I12" s="12"/>
      <c r="J12" s="13">
        <f t="shared" si="0"/>
        <v>0</v>
      </c>
      <c r="K12" s="13">
        <f t="shared" si="0"/>
        <v>0</v>
      </c>
    </row>
    <row r="13" spans="1:11" ht="15.75" x14ac:dyDescent="0.25">
      <c r="A13" s="11" t="s">
        <v>20</v>
      </c>
      <c r="B13" s="12">
        <f>(' Citrus 2013-14(Final)'!B13-'3rd Citrus 2013-14'!B13)/'3rd Citrus 2013-14'!B13*100</f>
        <v>0.68627450980392446</v>
      </c>
      <c r="C13" s="12">
        <f>(' Citrus 2013-14(Final)'!C13-'3rd Citrus 2013-14'!C13)/'3rd Citrus 2013-14'!C13*100</f>
        <v>3.7218322866642048</v>
      </c>
      <c r="D13" s="12"/>
      <c r="E13" s="12"/>
      <c r="F13" s="12"/>
      <c r="G13" s="12"/>
      <c r="H13" s="12"/>
      <c r="I13" s="12"/>
      <c r="J13" s="13">
        <f t="shared" si="0"/>
        <v>0.68627450980392446</v>
      </c>
      <c r="K13" s="13">
        <f t="shared" si="0"/>
        <v>3.7218322866642048</v>
      </c>
    </row>
    <row r="14" spans="1:11" ht="15.75" x14ac:dyDescent="0.25">
      <c r="A14" s="11" t="s">
        <v>21</v>
      </c>
      <c r="B14" s="12"/>
      <c r="C14" s="12"/>
      <c r="D14" s="12"/>
      <c r="E14" s="12"/>
      <c r="F14" s="12"/>
      <c r="G14" s="12"/>
      <c r="H14" s="12">
        <f>(' Citrus 2013-14(Final)'!H14-'3rd Citrus 2013-14'!H14)/'3rd Citrus 2013-14'!H14*100</f>
        <v>-0.10309278350515245</v>
      </c>
      <c r="I14" s="12">
        <f>(' Citrus 2013-14(Final)'!I14-'3rd Citrus 2013-14'!I14)/'3rd Citrus 2013-14'!I14*100</f>
        <v>1.6982110448535161</v>
      </c>
      <c r="J14" s="13">
        <f t="shared" si="0"/>
        <v>-0.10309278350515245</v>
      </c>
      <c r="K14" s="13">
        <f t="shared" si="0"/>
        <v>1.6982110448535161</v>
      </c>
    </row>
    <row r="15" spans="1:11" ht="15.75" x14ac:dyDescent="0.25">
      <c r="A15" s="11" t="s">
        <v>22</v>
      </c>
      <c r="B15" s="12">
        <f>(' Citrus 2013-14(Final)'!B15-'3rd Citrus 2013-14'!B15)/'3rd Citrus 2013-14'!B15*100</f>
        <v>2.1260146888287479</v>
      </c>
      <c r="C15" s="12">
        <f>(' Citrus 2013-14(Final)'!C15-'3rd Citrus 2013-14'!C15)/'3rd Citrus 2013-14'!C15*100</f>
        <v>0</v>
      </c>
      <c r="D15" s="12">
        <f>(' Citrus 2013-14(Final)'!D15-'3rd Citrus 2013-14'!D15)/'3rd Citrus 2013-14'!D15*100</f>
        <v>-0.18583042973286892</v>
      </c>
      <c r="E15" s="12">
        <f>(' Citrus 2013-14(Final)'!E15-'3rd Citrus 2013-14'!E15)/'3rd Citrus 2013-14'!E15*100</f>
        <v>0</v>
      </c>
      <c r="F15" s="12">
        <f>(' Citrus 2013-14(Final)'!F15-'3rd Citrus 2013-14'!F15)/'3rd Citrus 2013-14'!F15*100</f>
        <v>0.84635416666666019</v>
      </c>
      <c r="G15" s="12">
        <f>(' Citrus 2013-14(Final)'!G15-'3rd Citrus 2013-14'!G15)/'3rd Citrus 2013-14'!G15*100</f>
        <v>0</v>
      </c>
      <c r="H15" s="12">
        <f>(' Citrus 2013-14(Final)'!H15-'3rd Citrus 2013-14'!H15)/'3rd Citrus 2013-14'!H15*100</f>
        <v>3.8528138528138514</v>
      </c>
      <c r="I15" s="12">
        <f>(' Citrus 2013-14(Final)'!I15-'3rd Citrus 2013-14'!I15)/'3rd Citrus 2013-14'!I15*100</f>
        <v>0</v>
      </c>
      <c r="J15" s="13">
        <f t="shared" si="0"/>
        <v>6.639352278576391</v>
      </c>
      <c r="K15" s="13">
        <f t="shared" si="0"/>
        <v>0</v>
      </c>
    </row>
    <row r="16" spans="1:11" ht="15.75" x14ac:dyDescent="0.25">
      <c r="A16" s="11" t="s">
        <v>23</v>
      </c>
      <c r="B16" s="12"/>
      <c r="C16" s="12"/>
      <c r="D16" s="12"/>
      <c r="E16" s="12"/>
      <c r="F16" s="12"/>
      <c r="G16" s="12"/>
      <c r="H16" s="12">
        <f>(' Citrus 2013-14(Final)'!H16-'3rd Citrus 2013-14'!H16)/'3rd Citrus 2013-14'!H16*100</f>
        <v>0</v>
      </c>
      <c r="I16" s="12">
        <f>(' Citrus 2013-14(Final)'!I16-'3rd Citrus 2013-14'!I16)/'3rd Citrus 2013-14'!I16*100</f>
        <v>0</v>
      </c>
      <c r="J16" s="13">
        <f t="shared" si="0"/>
        <v>0</v>
      </c>
      <c r="K16" s="13">
        <f t="shared" si="0"/>
        <v>0</v>
      </c>
    </row>
    <row r="17" spans="1:11" ht="15.75" x14ac:dyDescent="0.25">
      <c r="A17" s="11" t="s">
        <v>24</v>
      </c>
      <c r="B17" s="12">
        <f>(' Citrus 2013-14(Final)'!B17-'3rd Citrus 2013-14'!B17)/'3rd Citrus 2013-14'!B17*100</f>
        <v>0</v>
      </c>
      <c r="C17" s="12">
        <f>(' Citrus 2013-14(Final)'!C17-'3rd Citrus 2013-14'!C17)/'3rd Citrus 2013-14'!C17*100</f>
        <v>0</v>
      </c>
      <c r="D17" s="12"/>
      <c r="E17" s="12"/>
      <c r="F17" s="12"/>
      <c r="G17" s="12"/>
      <c r="H17" s="12"/>
      <c r="I17" s="12"/>
      <c r="J17" s="13">
        <f t="shared" si="0"/>
        <v>0</v>
      </c>
      <c r="K17" s="13">
        <f t="shared" si="0"/>
        <v>0</v>
      </c>
    </row>
    <row r="18" spans="1:11" ht="15.75" x14ac:dyDescent="0.25">
      <c r="A18" s="11" t="s">
        <v>25</v>
      </c>
      <c r="B18" s="12">
        <f>(' Citrus 2013-14(Final)'!B18-'3rd Citrus 2013-14'!B18)/'3rd Citrus 2013-14'!B18*100</f>
        <v>-0.17391304347825717</v>
      </c>
      <c r="C18" s="12">
        <f>(' Citrus 2013-14(Final)'!C18-'3rd Citrus 2013-14'!C18)/'3rd Citrus 2013-14'!C18*100</f>
        <v>1.4914243102170195E-2</v>
      </c>
      <c r="D18" s="12">
        <f>(' Citrus 2013-14(Final)'!D18-'3rd Citrus 2013-14'!D18)/'3rd Citrus 2013-14'!D18*100</f>
        <v>0.29411764705883031</v>
      </c>
      <c r="E18" s="12">
        <f>(' Citrus 2013-14(Final)'!E18-'3rd Citrus 2013-14'!E18)/'3rd Citrus 2013-14'!E18*100</f>
        <v>-1.3175230566541653E-2</v>
      </c>
      <c r="F18" s="12">
        <f>(' Citrus 2013-14(Final)'!F18-'3rd Citrus 2013-14'!F18)/'3rd Citrus 2013-14'!F18*100</f>
        <v>-0.47619047619048716</v>
      </c>
      <c r="G18" s="12">
        <f>(' Citrus 2013-14(Final)'!G18-'3rd Citrus 2013-14'!G18)/'3rd Citrus 2013-14'!G18*100</f>
        <v>0.12698412698412428</v>
      </c>
      <c r="H18" s="12">
        <f>(' Citrus 2013-14(Final)'!H18-'3rd Citrus 2013-14'!H18)/'3rd Citrus 2013-14'!H18*100</f>
        <v>3.3333333333333366</v>
      </c>
      <c r="I18" s="12">
        <f>(' Citrus 2013-14(Final)'!I18-'3rd Citrus 2013-14'!I18)/'3rd Citrus 2013-14'!I18*100</f>
        <v>-0.55555555555555602</v>
      </c>
      <c r="J18" s="13">
        <f t="shared" si="0"/>
        <v>2.9773474607234225</v>
      </c>
      <c r="K18" s="13">
        <f t="shared" si="0"/>
        <v>-0.42683241603580319</v>
      </c>
    </row>
    <row r="19" spans="1:11" ht="15.75" x14ac:dyDescent="0.25">
      <c r="A19" s="11" t="s">
        <v>26</v>
      </c>
      <c r="B19" s="12"/>
      <c r="C19" s="12"/>
      <c r="D19" s="12"/>
      <c r="E19" s="12"/>
      <c r="F19" s="12"/>
      <c r="G19" s="12"/>
      <c r="H19" s="12"/>
      <c r="I19" s="12"/>
      <c r="J19" s="13">
        <f t="shared" si="0"/>
        <v>0</v>
      </c>
      <c r="K19" s="13">
        <f t="shared" si="0"/>
        <v>0</v>
      </c>
    </row>
    <row r="20" spans="1:11" ht="15.75" x14ac:dyDescent="0.25">
      <c r="A20" s="11" t="s">
        <v>56</v>
      </c>
      <c r="B20" s="12"/>
      <c r="C20" s="12"/>
      <c r="D20" s="12"/>
      <c r="E20" s="12"/>
      <c r="F20" s="12"/>
      <c r="G20" s="12"/>
      <c r="H20" s="12"/>
      <c r="I20" s="12"/>
      <c r="J20" s="13">
        <f t="shared" si="0"/>
        <v>0</v>
      </c>
      <c r="K20" s="13">
        <f t="shared" si="0"/>
        <v>0</v>
      </c>
    </row>
    <row r="21" spans="1:11" ht="15.75" x14ac:dyDescent="0.25">
      <c r="A21" s="11" t="s">
        <v>27</v>
      </c>
      <c r="B21" s="12">
        <f>(' Citrus 2013-14(Final)'!B21-'3rd Citrus 2013-14'!B21)/'3rd Citrus 2013-14'!B21*100</f>
        <v>-9.2669817440572885E-3</v>
      </c>
      <c r="C21" s="12">
        <f>(' Citrus 2013-14(Final)'!C21-'3rd Citrus 2013-14'!C21)/'3rd Citrus 2013-14'!C21*100</f>
        <v>-8.4245998315123135E-3</v>
      </c>
      <c r="D21" s="12">
        <f>(' Citrus 2013-14(Final)'!D21-'3rd Citrus 2013-14'!D21)/'3rd Citrus 2013-14'!D21*100</f>
        <v>0</v>
      </c>
      <c r="E21" s="12">
        <f>(' Citrus 2013-14(Final)'!E21-'3rd Citrus 2013-14'!E21)/'3rd Citrus 2013-14'!E21*100</f>
        <v>-1.900290632685812E-2</v>
      </c>
      <c r="F21" s="12">
        <f>(' Citrus 2013-14(Final)'!F21-'3rd Citrus 2013-14'!F21)/'3rd Citrus 2013-14'!F21*100</f>
        <v>0</v>
      </c>
      <c r="G21" s="12">
        <f>(' Citrus 2013-14(Final)'!G21-'3rd Citrus 2013-14'!G21)/'3rd Citrus 2013-14'!G21*100</f>
        <v>-2.2935779816518977E-2</v>
      </c>
      <c r="H21" s="12"/>
      <c r="I21" s="12"/>
      <c r="J21" s="13">
        <f t="shared" si="0"/>
        <v>-9.2669817440572885E-3</v>
      </c>
      <c r="K21" s="13">
        <f t="shared" si="0"/>
        <v>-5.0363285974889413E-2</v>
      </c>
    </row>
    <row r="22" spans="1:11" ht="15.75" x14ac:dyDescent="0.25">
      <c r="A22" s="11" t="s">
        <v>28</v>
      </c>
      <c r="B22" s="12">
        <f>(' Citrus 2013-14(Final)'!B22-'3rd Citrus 2013-14'!B22)/'3rd Citrus 2013-14'!B22*100</f>
        <v>0</v>
      </c>
      <c r="C22" s="12">
        <f>(' Citrus 2013-14(Final)'!C22-'3rd Citrus 2013-14'!C22)/'3rd Citrus 2013-14'!C22*100</f>
        <v>24.897959183673468</v>
      </c>
      <c r="D22" s="12">
        <f>(' Citrus 2013-14(Final)'!D22-'3rd Citrus 2013-14'!D22)/'3rd Citrus 2013-14'!D22*100</f>
        <v>0</v>
      </c>
      <c r="E22" s="12">
        <f>(' Citrus 2013-14(Final)'!E22-'3rd Citrus 2013-14'!E22)/'3rd Citrus 2013-14'!E22*100</f>
        <v>95.39473684210526</v>
      </c>
      <c r="F22" s="12">
        <f>(' Citrus 2013-14(Final)'!F22-'3rd Citrus 2013-14'!F22)/'3rd Citrus 2013-14'!F22*100</f>
        <v>0</v>
      </c>
      <c r="G22" s="12">
        <f>(' Citrus 2013-14(Final)'!G22-'3rd Citrus 2013-14'!G22)/'3rd Citrus 2013-14'!G22*100</f>
        <v>36.233269598470365</v>
      </c>
      <c r="H22" s="12"/>
      <c r="I22" s="12"/>
      <c r="J22" s="13">
        <f t="shared" si="0"/>
        <v>0</v>
      </c>
      <c r="K22" s="13">
        <f t="shared" si="0"/>
        <v>156.5259656242491</v>
      </c>
    </row>
    <row r="23" spans="1:11" ht="15.75" x14ac:dyDescent="0.25">
      <c r="A23" s="106" t="s">
        <v>29</v>
      </c>
      <c r="B23" s="12">
        <f>(' Citrus 2013-14(Final)'!B23-'3rd Citrus 2013-14'!B23)/'3rd Citrus 2013-14'!B23*100</f>
        <v>0</v>
      </c>
      <c r="C23" s="12">
        <f>(' Citrus 2013-14(Final)'!C23-'3rd Citrus 2013-14'!C23)/'3rd Citrus 2013-14'!C23*100</f>
        <v>0</v>
      </c>
      <c r="D23" s="12">
        <f>(' Citrus 2013-14(Final)'!D23-'3rd Citrus 2013-14'!D23)/'3rd Citrus 2013-14'!D23*100</f>
        <v>0</v>
      </c>
      <c r="E23" s="12">
        <f>(' Citrus 2013-14(Final)'!E23-'3rd Citrus 2013-14'!E23)/'3rd Citrus 2013-14'!E23*100</f>
        <v>0</v>
      </c>
      <c r="F23" s="12"/>
      <c r="G23" s="12"/>
      <c r="H23" s="12"/>
      <c r="I23" s="12"/>
      <c r="J23" s="13">
        <f t="shared" si="0"/>
        <v>0</v>
      </c>
      <c r="K23" s="13">
        <f t="shared" si="0"/>
        <v>0</v>
      </c>
    </row>
    <row r="24" spans="1:11" ht="15.75" x14ac:dyDescent="0.25">
      <c r="A24" s="11" t="s">
        <v>30</v>
      </c>
      <c r="B24" s="12">
        <f>(' Citrus 2013-14(Final)'!B24-'3rd Citrus 2013-14'!B24)/'3rd Citrus 2013-14'!B24*100</f>
        <v>0</v>
      </c>
      <c r="C24" s="12">
        <f>(' Citrus 2013-14(Final)'!C24-'3rd Citrus 2013-14'!C24)/'3rd Citrus 2013-14'!C24*100</f>
        <v>0</v>
      </c>
      <c r="D24" s="12">
        <f>(' Citrus 2013-14(Final)'!D24-'3rd Citrus 2013-14'!D24)/'3rd Citrus 2013-14'!D24*100</f>
        <v>0</v>
      </c>
      <c r="E24" s="12">
        <f>(' Citrus 2013-14(Final)'!E24-'3rd Citrus 2013-14'!E24)/'3rd Citrus 2013-14'!E24*100</f>
        <v>0</v>
      </c>
      <c r="F24" s="12"/>
      <c r="G24" s="12"/>
      <c r="H24" s="12">
        <f>(' Citrus 2013-14(Final)'!H24-'3rd Citrus 2013-14'!H24)/'3rd Citrus 2013-14'!H24*100</f>
        <v>0</v>
      </c>
      <c r="I24" s="12">
        <f>(' Citrus 2013-14(Final)'!I24-'3rd Citrus 2013-14'!I24)/'3rd Citrus 2013-14'!I24*100</f>
        <v>0</v>
      </c>
      <c r="J24" s="13">
        <f t="shared" si="0"/>
        <v>0</v>
      </c>
      <c r="K24" s="13">
        <f t="shared" si="0"/>
        <v>0</v>
      </c>
    </row>
    <row r="25" spans="1:11" ht="15.75" x14ac:dyDescent="0.25">
      <c r="A25" s="11" t="s">
        <v>31</v>
      </c>
      <c r="B25" s="12">
        <f>(' Citrus 2013-14(Final)'!B25-'3rd Citrus 2013-14'!B25)/'3rd Citrus 2013-14'!B25*100</f>
        <v>0</v>
      </c>
      <c r="C25" s="12">
        <f>(' Citrus 2013-14(Final)'!C25-'3rd Citrus 2013-14'!C25)/'3rd Citrus 2013-14'!C25*100</f>
        <v>0</v>
      </c>
      <c r="D25" s="12">
        <f>(' Citrus 2013-14(Final)'!D25-'3rd Citrus 2013-14'!D25)/'3rd Citrus 2013-14'!D25*100</f>
        <v>0</v>
      </c>
      <c r="E25" s="12">
        <f>(' Citrus 2013-14(Final)'!E25-'3rd Citrus 2013-14'!E25)/'3rd Citrus 2013-14'!E25*100</f>
        <v>0</v>
      </c>
      <c r="F25" s="12">
        <f>(' Citrus 2013-14(Final)'!F25-'3rd Citrus 2013-14'!F25)/'3rd Citrus 2013-14'!F25*100</f>
        <v>0</v>
      </c>
      <c r="G25" s="12">
        <f>(' Citrus 2013-14(Final)'!G25-'3rd Citrus 2013-14'!G25)/'3rd Citrus 2013-14'!G25*100</f>
        <v>0</v>
      </c>
      <c r="H25" s="12">
        <f>(' Citrus 2013-14(Final)'!H25-'3rd Citrus 2013-14'!H25)/'3rd Citrus 2013-14'!H25*100</f>
        <v>-3.6363636363636389</v>
      </c>
      <c r="I25" s="12">
        <f>(' Citrus 2013-14(Final)'!I25-'3rd Citrus 2013-14'!I25)/'3rd Citrus 2013-14'!I25*100</f>
        <v>0</v>
      </c>
      <c r="J25" s="13">
        <f t="shared" si="0"/>
        <v>-3.6363636363636389</v>
      </c>
      <c r="K25" s="13">
        <f t="shared" si="0"/>
        <v>0</v>
      </c>
    </row>
    <row r="26" spans="1:11" ht="15.75" x14ac:dyDescent="0.25">
      <c r="A26" s="14" t="s">
        <v>32</v>
      </c>
      <c r="B26" s="12">
        <f>(' Citrus 2013-14(Final)'!B26-'3rd Citrus 2013-14'!B26)/'3rd Citrus 2013-14'!B26*100</f>
        <v>3.3333333333333361</v>
      </c>
      <c r="C26" s="12">
        <f>(' Citrus 2013-14(Final)'!C26-'3rd Citrus 2013-14'!C26)/'3rd Citrus 2013-14'!C26*100</f>
        <v>3.3333333333333361</v>
      </c>
      <c r="D26" s="12">
        <f>(' Citrus 2013-14(Final)'!D26-'3rd Citrus 2013-14'!D26)/'3rd Citrus 2013-14'!D26*100</f>
        <v>1.6666666666666607</v>
      </c>
      <c r="E26" s="12">
        <f>(' Citrus 2013-14(Final)'!E26-'3rd Citrus 2013-14'!E26)/'3rd Citrus 2013-14'!E26*100</f>
        <v>1.4814814814814761</v>
      </c>
      <c r="F26" s="12">
        <f>(' Citrus 2013-14(Final)'!F26-'3rd Citrus 2013-14'!F26)/'3rd Citrus 2013-14'!F26*100</f>
        <v>0</v>
      </c>
      <c r="G26" s="12">
        <f>(' Citrus 2013-14(Final)'!G26-'3rd Citrus 2013-14'!G26)/'3rd Citrus 2013-14'!G26*100</f>
        <v>0</v>
      </c>
      <c r="H26" s="12"/>
      <c r="I26" s="12"/>
      <c r="J26" s="13">
        <f t="shared" si="0"/>
        <v>4.9999999999999964</v>
      </c>
      <c r="K26" s="13">
        <f t="shared" si="0"/>
        <v>4.8148148148148122</v>
      </c>
    </row>
    <row r="27" spans="1:11" ht="15.75" x14ac:dyDescent="0.25">
      <c r="A27" s="11" t="s">
        <v>189</v>
      </c>
      <c r="B27" s="12"/>
      <c r="C27" s="12"/>
      <c r="D27" s="12"/>
      <c r="E27" s="12"/>
      <c r="F27" s="12"/>
      <c r="G27" s="12"/>
      <c r="H27" s="12">
        <f>(' Citrus 2013-14(Final)'!H27-'3rd Citrus 2013-14'!H27)/'3rd Citrus 2013-14'!H27*100</f>
        <v>0</v>
      </c>
      <c r="I27" s="12">
        <f>(' Citrus 2013-14(Final)'!I27-'3rd Citrus 2013-14'!I27)/'3rd Citrus 2013-14'!I27*100</f>
        <v>0</v>
      </c>
      <c r="J27" s="13">
        <f t="shared" si="0"/>
        <v>0</v>
      </c>
      <c r="K27" s="13">
        <f t="shared" si="0"/>
        <v>0</v>
      </c>
    </row>
    <row r="28" spans="1:11" ht="15.75" x14ac:dyDescent="0.25">
      <c r="A28" s="14" t="s">
        <v>167</v>
      </c>
      <c r="B28" s="12">
        <f>(' Citrus 2013-14(Final)'!B28-'3rd Citrus 2013-14'!B28)/'3rd Citrus 2013-14'!B28*100</f>
        <v>0</v>
      </c>
      <c r="C28" s="12">
        <f>(' Citrus 2013-14(Final)'!C28-'3rd Citrus 2013-14'!C28)/'3rd Citrus 2013-14'!C28*100</f>
        <v>0</v>
      </c>
      <c r="D28" s="12"/>
      <c r="E28" s="12"/>
      <c r="F28" s="12"/>
      <c r="G28" s="12"/>
      <c r="H28" s="12"/>
      <c r="I28" s="12"/>
      <c r="J28" s="13">
        <f t="shared" si="0"/>
        <v>0</v>
      </c>
      <c r="K28" s="13">
        <f t="shared" si="0"/>
        <v>0</v>
      </c>
    </row>
    <row r="29" spans="1:11" ht="15.75" x14ac:dyDescent="0.25">
      <c r="A29" s="11" t="s">
        <v>33</v>
      </c>
      <c r="B29" s="12">
        <f>(' Citrus 2013-14(Final)'!B29-'3rd Citrus 2013-14'!B29)/'3rd Citrus 2013-14'!B29*100</f>
        <v>0.92307692307692391</v>
      </c>
      <c r="C29" s="12">
        <f>(' Citrus 2013-14(Final)'!C29-'3rd Citrus 2013-14'!C29)/'3rd Citrus 2013-14'!C29*100</f>
        <v>1.4141414141414019</v>
      </c>
      <c r="D29" s="12">
        <f>(' Citrus 2013-14(Final)'!D29-'3rd Citrus 2013-14'!D29)/'3rd Citrus 2013-14'!D29*100</f>
        <v>-0.31534391534391731</v>
      </c>
      <c r="E29" s="12">
        <f>(' Citrus 2013-14(Final)'!E29-'3rd Citrus 2013-14'!E29)/'3rd Citrus 2013-14'!E29*100</f>
        <v>1.5237667714100429</v>
      </c>
      <c r="F29" s="12">
        <f>(' Citrus 2013-14(Final)'!F29-'3rd Citrus 2013-14'!F29)/'3rd Citrus 2013-14'!F29*100</f>
        <v>-4.2652329749104014</v>
      </c>
      <c r="G29" s="12">
        <f>(' Citrus 2013-14(Final)'!G29-'3rd Citrus 2013-14'!G29)/'3rd Citrus 2013-14'!G29*100</f>
        <v>-4.4231625835189252</v>
      </c>
      <c r="H29" s="12"/>
      <c r="I29" s="12"/>
      <c r="J29" s="13">
        <f t="shared" si="0"/>
        <v>-3.6574999671773947</v>
      </c>
      <c r="K29" s="13">
        <f t="shared" si="0"/>
        <v>-1.4852543979674806</v>
      </c>
    </row>
    <row r="30" spans="1:11" ht="15.75" x14ac:dyDescent="0.25">
      <c r="A30" s="11" t="s">
        <v>34</v>
      </c>
      <c r="B30" s="12">
        <f>(' Citrus 2013-14(Final)'!B30-'3rd Citrus 2013-14'!B30)/'3rd Citrus 2013-14'!B30*100</f>
        <v>-51.197822141560799</v>
      </c>
      <c r="C30" s="12">
        <f>(' Citrus 2013-14(Final)'!C30-'3rd Citrus 2013-14'!C30)/'3rd Citrus 2013-14'!C30*100</f>
        <v>-51.592557552822448</v>
      </c>
      <c r="D30" s="12">
        <f>(' Citrus 2013-14(Final)'!D30-'3rd Citrus 2013-14'!D30)/'3rd Citrus 2013-14'!D30*100</f>
        <v>-1.7075306479859922</v>
      </c>
      <c r="E30" s="12">
        <f>(' Citrus 2013-14(Final)'!E30-'3rd Citrus 2013-14'!E30)/'3rd Citrus 2013-14'!E30*100</f>
        <v>-13.740572586394508</v>
      </c>
      <c r="F30" s="12">
        <f>(' Citrus 2013-14(Final)'!F30-'3rd Citrus 2013-14'!F30)/'3rd Citrus 2013-14'!F30*100</f>
        <v>-84.224598930481292</v>
      </c>
      <c r="G30" s="12">
        <f>(' Citrus 2013-14(Final)'!G30-'3rd Citrus 2013-14'!G30)/'3rd Citrus 2013-14'!G30*100</f>
        <v>-55.062499999999993</v>
      </c>
      <c r="H30" s="12">
        <f>(' Citrus 2013-14(Final)'!H30-'3rd Citrus 2013-14'!H30)/'3rd Citrus 2013-14'!H30*100</f>
        <v>-23.222049689441004</v>
      </c>
      <c r="I30" s="12">
        <f>(' Citrus 2013-14(Final)'!I30-'3rd Citrus 2013-14'!I30)/'3rd Citrus 2013-14'!I30*100</f>
        <v>-4.8178180286436278</v>
      </c>
      <c r="J30" s="13">
        <f t="shared" si="0"/>
        <v>-160.3520014094691</v>
      </c>
      <c r="K30" s="13">
        <f t="shared" si="0"/>
        <v>-125.21344816786059</v>
      </c>
    </row>
    <row r="31" spans="1:11" ht="15.75" x14ac:dyDescent="0.25">
      <c r="A31" s="11" t="s">
        <v>35</v>
      </c>
      <c r="B31" s="12"/>
      <c r="C31" s="12"/>
      <c r="D31" s="12">
        <f>(' Citrus 2013-14(Final)'!D31-'3rd Citrus 2013-14'!D31)/'3rd Citrus 2013-14'!D31*100</f>
        <v>0</v>
      </c>
      <c r="E31" s="12">
        <f>(' Citrus 2013-14(Final)'!E31-'3rd Citrus 2013-14'!E31)/'3rd Citrus 2013-14'!E31*100</f>
        <v>0</v>
      </c>
      <c r="F31" s="12"/>
      <c r="G31" s="12"/>
      <c r="H31" s="12"/>
      <c r="I31" s="12"/>
      <c r="J31" s="13">
        <f t="shared" si="0"/>
        <v>0</v>
      </c>
      <c r="K31" s="13">
        <f t="shared" si="0"/>
        <v>0</v>
      </c>
    </row>
    <row r="32" spans="1:11" ht="15.75" x14ac:dyDescent="0.25">
      <c r="A32" s="11" t="s">
        <v>36</v>
      </c>
      <c r="B32" s="12">
        <f>(' Citrus 2013-14(Final)'!B32-'3rd Citrus 2013-14'!B32)/'3rd Citrus 2013-14'!B32*100</f>
        <v>0</v>
      </c>
      <c r="C32" s="12">
        <f>(' Citrus 2013-14(Final)'!C32-'3rd Citrus 2013-14'!C32)/'3rd Citrus 2013-14'!C32*100</f>
        <v>0</v>
      </c>
      <c r="D32" s="12">
        <f>(' Citrus 2013-14(Final)'!D32-'3rd Citrus 2013-14'!D32)/'3rd Citrus 2013-14'!D32*100</f>
        <v>0</v>
      </c>
      <c r="E32" s="12">
        <f>(' Citrus 2013-14(Final)'!E32-'3rd Citrus 2013-14'!E32)/'3rd Citrus 2013-14'!E32*100</f>
        <v>0</v>
      </c>
      <c r="F32" s="12">
        <f>(' Citrus 2013-14(Final)'!F32-'3rd Citrus 2013-14'!F32)/'3rd Citrus 2013-14'!F32*100</f>
        <v>0</v>
      </c>
      <c r="G32" s="12">
        <f>(' Citrus 2013-14(Final)'!G32-'3rd Citrus 2013-14'!G32)/'3rd Citrus 2013-14'!G32*100</f>
        <v>0</v>
      </c>
      <c r="H32" s="12">
        <f>(' Citrus 2013-14(Final)'!H32-'3rd Citrus 2013-14'!H32)/'3rd Citrus 2013-14'!H32*100</f>
        <v>0</v>
      </c>
      <c r="I32" s="12">
        <f>(' Citrus 2013-14(Final)'!I32-'3rd Citrus 2013-14'!I32)/'3rd Citrus 2013-14'!I32*100</f>
        <v>0</v>
      </c>
      <c r="J32" s="13">
        <f t="shared" si="0"/>
        <v>0</v>
      </c>
      <c r="K32" s="13">
        <f t="shared" si="0"/>
        <v>0</v>
      </c>
    </row>
    <row r="33" spans="1:11" ht="15.75" x14ac:dyDescent="0.25">
      <c r="A33" s="107" t="s">
        <v>241</v>
      </c>
      <c r="B33" s="12"/>
      <c r="C33" s="12"/>
      <c r="D33" s="12"/>
      <c r="E33" s="12"/>
      <c r="F33" s="12"/>
      <c r="G33" s="12"/>
      <c r="H33" s="12"/>
      <c r="I33" s="12"/>
      <c r="J33" s="13">
        <f t="shared" si="0"/>
        <v>0</v>
      </c>
      <c r="K33" s="13">
        <f t="shared" si="0"/>
        <v>0</v>
      </c>
    </row>
    <row r="34" spans="1:11" ht="15.75" x14ac:dyDescent="0.25">
      <c r="A34" s="11" t="s">
        <v>37</v>
      </c>
      <c r="B34" s="12">
        <f>(' Citrus 2013-14(Final)'!B34-'3rd Citrus 2013-14'!B34)/'3rd Citrus 2013-14'!B34*100</f>
        <v>23.214285714285719</v>
      </c>
      <c r="C34" s="12">
        <f>(' Citrus 2013-14(Final)'!C34-'3rd Citrus 2013-14'!C34)/'3rd Citrus 2013-14'!C34*100</f>
        <v>24.636118598382751</v>
      </c>
      <c r="D34" s="12">
        <f>(' Citrus 2013-14(Final)'!D34-'3rd Citrus 2013-14'!D34)/'3rd Citrus 2013-14'!D34*100</f>
        <v>16.236162361623617</v>
      </c>
      <c r="E34" s="12">
        <f>(' Citrus 2013-14(Final)'!E34-'3rd Citrus 2013-14'!E34)/'3rd Citrus 2013-14'!E34*100</f>
        <v>18.947368421052627</v>
      </c>
      <c r="F34" s="12">
        <f>(' Citrus 2013-14(Final)'!F34-'3rd Citrus 2013-14'!F34)/'3rd Citrus 2013-14'!F34*100</f>
        <v>205.55555555555557</v>
      </c>
      <c r="G34" s="12">
        <f>(' Citrus 2013-14(Final)'!G34-'3rd Citrus 2013-14'!G34)/'3rd Citrus 2013-14'!G34*100</f>
        <v>979900</v>
      </c>
      <c r="H34" s="12"/>
      <c r="I34" s="12"/>
      <c r="J34" s="13">
        <f t="shared" si="0"/>
        <v>245.00600363146492</v>
      </c>
      <c r="K34" s="13">
        <f t="shared" si="0"/>
        <v>979943.58348701941</v>
      </c>
    </row>
    <row r="35" spans="1:11" ht="15.75" x14ac:dyDescent="0.25">
      <c r="A35" s="11" t="s">
        <v>38</v>
      </c>
      <c r="B35" s="12">
        <f>(' Citrus 2013-14(Final)'!B35-'3rd Citrus 2013-14'!B35)/'3rd Citrus 2013-14'!B35*100</f>
        <v>0</v>
      </c>
      <c r="C35" s="12">
        <f>(' Citrus 2013-14(Final)'!C35-'3rd Citrus 2013-14'!C35)/'3rd Citrus 2013-14'!C35*100</f>
        <v>0</v>
      </c>
      <c r="D35" s="12"/>
      <c r="E35" s="12"/>
      <c r="F35" s="12"/>
      <c r="G35" s="12"/>
      <c r="H35" s="12"/>
      <c r="I35" s="12"/>
      <c r="J35" s="13">
        <f t="shared" si="0"/>
        <v>0</v>
      </c>
      <c r="K35" s="13">
        <f t="shared" si="0"/>
        <v>0</v>
      </c>
    </row>
    <row r="36" spans="1:11" ht="15.75" x14ac:dyDescent="0.25">
      <c r="A36" s="11" t="s">
        <v>90</v>
      </c>
      <c r="B36" s="12"/>
      <c r="C36" s="12"/>
      <c r="D36" s="12"/>
      <c r="E36" s="12"/>
      <c r="F36" s="12"/>
      <c r="G36" s="12"/>
      <c r="H36" s="12">
        <f>(' Citrus 2013-14(Final)'!H36-'3rd Citrus 2013-14'!H36)/'3rd Citrus 2013-14'!H36*100</f>
        <v>-100</v>
      </c>
      <c r="I36" s="12">
        <f>(' Citrus 2013-14(Final)'!I36-'3rd Citrus 2013-14'!I36)/'3rd Citrus 2013-14'!I36*100</f>
        <v>-100</v>
      </c>
      <c r="J36" s="13">
        <f t="shared" si="0"/>
        <v>-100</v>
      </c>
      <c r="K36" s="13">
        <f t="shared" si="0"/>
        <v>-100</v>
      </c>
    </row>
    <row r="37" spans="1:11" ht="15.75" x14ac:dyDescent="0.25">
      <c r="A37" s="11" t="s">
        <v>40</v>
      </c>
      <c r="B37" s="12"/>
      <c r="C37" s="12"/>
      <c r="D37" s="12">
        <f>(' Citrus 2013-14(Final)'!D37-'3rd Citrus 2013-14'!D37)/'3rd Citrus 2013-14'!D37*100</f>
        <v>0</v>
      </c>
      <c r="E37" s="12">
        <f>(' Citrus 2013-14(Final)'!E37-'3rd Citrus 2013-14'!E37)/'3rd Citrus 2013-14'!E37*100</f>
        <v>0</v>
      </c>
      <c r="F37" s="12"/>
      <c r="G37" s="12"/>
      <c r="H37" s="12">
        <f>(' Citrus 2013-14(Final)'!H37-'3rd Citrus 2013-14'!H37)/'3rd Citrus 2013-14'!H37*100</f>
        <v>0</v>
      </c>
      <c r="I37" s="12">
        <f>(' Citrus 2013-14(Final)'!I37-'3rd Citrus 2013-14'!I37)/'3rd Citrus 2013-14'!I37*100</f>
        <v>0</v>
      </c>
      <c r="J37" s="13">
        <f t="shared" si="0"/>
        <v>0</v>
      </c>
      <c r="K37" s="13">
        <f t="shared" si="0"/>
        <v>0</v>
      </c>
    </row>
    <row r="38" spans="1:11" ht="15.75" x14ac:dyDescent="0.25">
      <c r="A38" s="11"/>
      <c r="B38" s="12"/>
      <c r="C38" s="12"/>
      <c r="D38" s="12"/>
      <c r="E38" s="12"/>
      <c r="F38" s="12"/>
      <c r="G38" s="12"/>
      <c r="H38" s="12"/>
      <c r="I38" s="12"/>
      <c r="J38" s="13"/>
      <c r="K38" s="13"/>
    </row>
    <row r="39" spans="1:11" ht="15.75" x14ac:dyDescent="0.25">
      <c r="A39" s="11" t="s">
        <v>9</v>
      </c>
      <c r="B39" s="13">
        <f>(' Citrus 2013-14(Final)'!B39-'3rd Citrus 2013-14'!B39)/'3rd Citrus 2013-14'!B39*100</f>
        <v>10.81517134113076</v>
      </c>
      <c r="C39" s="13">
        <f>(' Citrus 2013-14(Final)'!C39-'3rd Citrus 2013-14'!C39)/'3rd Citrus 2013-14'!C39*100</f>
        <v>10.510645596363888</v>
      </c>
      <c r="D39" s="13">
        <f>(' Citrus 2013-14(Final)'!D39-'3rd Citrus 2013-14'!D39)/'3rd Citrus 2013-14'!D39*100</f>
        <v>4.4266167004731322E-2</v>
      </c>
      <c r="E39" s="13">
        <f>(' Citrus 2013-14(Final)'!E39-'3rd Citrus 2013-14'!E39)/'3rd Citrus 2013-14'!E39*100</f>
        <v>10.368288519637956</v>
      </c>
      <c r="F39" s="13">
        <f>(' Citrus 2013-14(Final)'!F39-'3rd Citrus 2013-14'!F39)/'3rd Citrus 2013-14'!F39*100</f>
        <v>2.7738655227539883</v>
      </c>
      <c r="G39" s="13">
        <f>(' Citrus 2013-14(Final)'!G39-'3rd Citrus 2013-14'!G39)/'3rd Citrus 2013-14'!G39*100</f>
        <v>5.7110404006956994</v>
      </c>
      <c r="H39" s="13">
        <f>(' Citrus 2013-14(Final)'!H39-'3rd Citrus 2013-14'!H39)/'3rd Citrus 2013-14'!H39*100</f>
        <v>-19.342385686392113</v>
      </c>
      <c r="I39" s="13">
        <f>(' Citrus 2013-14(Final)'!I39-'3rd Citrus 2013-14'!I39)/'3rd Citrus 2013-14'!I39*100</f>
        <v>-12.271907630309528</v>
      </c>
      <c r="J39" s="13">
        <f>(' Citrus 2013-14(Final)'!J39-'3rd Citrus 2013-14'!J39)/'3rd Citrus 2013-14'!J39*100</f>
        <v>0.63740719263501022</v>
      </c>
      <c r="K39" s="13">
        <f>(' Citrus 2013-14(Final)'!K39-'3rd Citrus 2013-14'!K39)/'3rd Citrus 2013-14'!K39*100</f>
        <v>6.3222653644334406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0"/>
  <sheetViews>
    <sheetView workbookViewId="0">
      <selection activeCell="B5" sqref="B5"/>
    </sheetView>
  </sheetViews>
  <sheetFormatPr defaultColWidth="11.140625" defaultRowHeight="12.75" x14ac:dyDescent="0.2"/>
  <cols>
    <col min="1" max="1" width="23.85546875" style="104" customWidth="1"/>
    <col min="2" max="45" width="11.140625" style="104"/>
    <col min="46" max="49" width="11" style="104" customWidth="1"/>
    <col min="50" max="16384" width="11.140625" style="104"/>
  </cols>
  <sheetData>
    <row r="1" spans="1:53" ht="15.75" x14ac:dyDescent="0.2">
      <c r="A1" s="56" t="s">
        <v>202</v>
      </c>
      <c r="B1" s="309" t="s">
        <v>112</v>
      </c>
      <c r="C1" s="309"/>
      <c r="D1" s="308" t="s">
        <v>187</v>
      </c>
      <c r="E1" s="308"/>
      <c r="F1" s="308" t="s">
        <v>188</v>
      </c>
      <c r="G1" s="308"/>
      <c r="H1" s="308" t="s">
        <v>41</v>
      </c>
      <c r="I1" s="308"/>
      <c r="J1" s="308" t="s">
        <v>42</v>
      </c>
      <c r="K1" s="308"/>
      <c r="L1" s="308" t="s">
        <v>113</v>
      </c>
      <c r="M1" s="308"/>
      <c r="N1" s="308" t="s">
        <v>114</v>
      </c>
      <c r="O1" s="308"/>
      <c r="P1" s="308" t="s">
        <v>115</v>
      </c>
      <c r="Q1" s="308"/>
      <c r="R1" s="308" t="s">
        <v>116</v>
      </c>
      <c r="S1" s="308"/>
      <c r="T1" s="313" t="s">
        <v>238</v>
      </c>
      <c r="U1" s="314"/>
      <c r="V1" s="313" t="s">
        <v>239</v>
      </c>
      <c r="W1" s="314"/>
      <c r="X1" s="308" t="s">
        <v>117</v>
      </c>
      <c r="Y1" s="308"/>
      <c r="Z1" s="308" t="s">
        <v>214</v>
      </c>
      <c r="AA1" s="308"/>
      <c r="AB1" s="308" t="s">
        <v>45</v>
      </c>
      <c r="AC1" s="308"/>
      <c r="AD1" s="312" t="s">
        <v>215</v>
      </c>
      <c r="AE1" s="308"/>
      <c r="AF1" s="308" t="s">
        <v>43</v>
      </c>
      <c r="AG1" s="308"/>
      <c r="AH1" s="308" t="s">
        <v>46</v>
      </c>
      <c r="AI1" s="308"/>
      <c r="AJ1" s="308" t="s">
        <v>118</v>
      </c>
      <c r="AK1" s="308"/>
      <c r="AL1" s="308" t="s">
        <v>119</v>
      </c>
      <c r="AM1" s="308"/>
      <c r="AN1" s="308" t="s">
        <v>120</v>
      </c>
      <c r="AO1" s="308"/>
      <c r="AP1" s="308" t="s">
        <v>47</v>
      </c>
      <c r="AQ1" s="308"/>
      <c r="AR1" s="308" t="s">
        <v>44</v>
      </c>
      <c r="AS1" s="308"/>
      <c r="AT1" s="308" t="s">
        <v>121</v>
      </c>
      <c r="AU1" s="308"/>
      <c r="AV1" s="316" t="s">
        <v>240</v>
      </c>
      <c r="AW1" s="314"/>
      <c r="AX1" s="308" t="s">
        <v>8</v>
      </c>
      <c r="AY1" s="308"/>
      <c r="AZ1" s="308" t="s">
        <v>9</v>
      </c>
      <c r="BA1" s="308"/>
    </row>
    <row r="2" spans="1:53" ht="15.75" x14ac:dyDescent="0.2">
      <c r="A2" s="56"/>
      <c r="B2" s="310" t="s">
        <v>242</v>
      </c>
      <c r="C2" s="311"/>
      <c r="D2" s="310" t="s">
        <v>242</v>
      </c>
      <c r="E2" s="311"/>
      <c r="F2" s="310" t="s">
        <v>242</v>
      </c>
      <c r="G2" s="311"/>
      <c r="H2" s="310" t="s">
        <v>242</v>
      </c>
      <c r="I2" s="311"/>
      <c r="J2" s="310" t="s">
        <v>242</v>
      </c>
      <c r="K2" s="311"/>
      <c r="L2" s="310" t="s">
        <v>242</v>
      </c>
      <c r="M2" s="311"/>
      <c r="N2" s="310" t="s">
        <v>242</v>
      </c>
      <c r="O2" s="311"/>
      <c r="P2" s="310" t="s">
        <v>242</v>
      </c>
      <c r="Q2" s="311"/>
      <c r="R2" s="310" t="s">
        <v>242</v>
      </c>
      <c r="S2" s="311"/>
      <c r="T2" s="310" t="s">
        <v>242</v>
      </c>
      <c r="U2" s="311"/>
      <c r="V2" s="310" t="s">
        <v>242</v>
      </c>
      <c r="W2" s="311"/>
      <c r="X2" s="310" t="s">
        <v>242</v>
      </c>
      <c r="Y2" s="311"/>
      <c r="Z2" s="310" t="s">
        <v>242</v>
      </c>
      <c r="AA2" s="311"/>
      <c r="AB2" s="310" t="s">
        <v>242</v>
      </c>
      <c r="AC2" s="311"/>
      <c r="AD2" s="310" t="s">
        <v>242</v>
      </c>
      <c r="AE2" s="311"/>
      <c r="AF2" s="310" t="s">
        <v>242</v>
      </c>
      <c r="AG2" s="311"/>
      <c r="AH2" s="310" t="s">
        <v>242</v>
      </c>
      <c r="AI2" s="311"/>
      <c r="AJ2" s="310" t="s">
        <v>242</v>
      </c>
      <c r="AK2" s="311"/>
      <c r="AL2" s="310" t="s">
        <v>242</v>
      </c>
      <c r="AM2" s="311"/>
      <c r="AN2" s="310" t="s">
        <v>242</v>
      </c>
      <c r="AO2" s="311"/>
      <c r="AP2" s="310" t="s">
        <v>242</v>
      </c>
      <c r="AQ2" s="311"/>
      <c r="AR2" s="310" t="s">
        <v>242</v>
      </c>
      <c r="AS2" s="311"/>
      <c r="AT2" s="310" t="s">
        <v>242</v>
      </c>
      <c r="AU2" s="311"/>
      <c r="AV2" s="310" t="s">
        <v>242</v>
      </c>
      <c r="AW2" s="315"/>
      <c r="AX2" s="310" t="s">
        <v>242</v>
      </c>
      <c r="AY2" s="315"/>
      <c r="AZ2" s="310" t="s">
        <v>242</v>
      </c>
      <c r="BA2" s="315"/>
    </row>
    <row r="3" spans="1:53" ht="15.75" x14ac:dyDescent="0.25">
      <c r="A3" s="4"/>
      <c r="B3" s="54" t="s">
        <v>48</v>
      </c>
      <c r="C3" s="54" t="s">
        <v>10</v>
      </c>
      <c r="D3" s="54" t="s">
        <v>48</v>
      </c>
      <c r="E3" s="54" t="s">
        <v>10</v>
      </c>
      <c r="F3" s="54" t="s">
        <v>48</v>
      </c>
      <c r="G3" s="54" t="s">
        <v>10</v>
      </c>
      <c r="H3" s="54" t="s">
        <v>48</v>
      </c>
      <c r="I3" s="54" t="s">
        <v>10</v>
      </c>
      <c r="J3" s="54" t="s">
        <v>48</v>
      </c>
      <c r="K3" s="54" t="s">
        <v>10</v>
      </c>
      <c r="L3" s="54" t="s">
        <v>48</v>
      </c>
      <c r="M3" s="54" t="s">
        <v>10</v>
      </c>
      <c r="N3" s="54" t="s">
        <v>48</v>
      </c>
      <c r="O3" s="54" t="s">
        <v>10</v>
      </c>
      <c r="P3" s="54" t="s">
        <v>48</v>
      </c>
      <c r="Q3" s="54" t="s">
        <v>10</v>
      </c>
      <c r="R3" s="54" t="s">
        <v>48</v>
      </c>
      <c r="S3" s="54" t="s">
        <v>10</v>
      </c>
      <c r="T3" s="54" t="s">
        <v>48</v>
      </c>
      <c r="U3" s="54" t="s">
        <v>10</v>
      </c>
      <c r="V3" s="54" t="s">
        <v>48</v>
      </c>
      <c r="W3" s="54" t="s">
        <v>10</v>
      </c>
      <c r="X3" s="54" t="s">
        <v>48</v>
      </c>
      <c r="Y3" s="54" t="s">
        <v>10</v>
      </c>
      <c r="Z3" s="54" t="s">
        <v>48</v>
      </c>
      <c r="AA3" s="54" t="s">
        <v>10</v>
      </c>
      <c r="AB3" s="54" t="s">
        <v>48</v>
      </c>
      <c r="AC3" s="54" t="s">
        <v>10</v>
      </c>
      <c r="AD3" s="54" t="s">
        <v>48</v>
      </c>
      <c r="AE3" s="54" t="s">
        <v>10</v>
      </c>
      <c r="AF3" s="54" t="s">
        <v>48</v>
      </c>
      <c r="AG3" s="54" t="s">
        <v>10</v>
      </c>
      <c r="AH3" s="54" t="s">
        <v>48</v>
      </c>
      <c r="AI3" s="54" t="s">
        <v>10</v>
      </c>
      <c r="AJ3" s="54" t="s">
        <v>48</v>
      </c>
      <c r="AK3" s="54" t="s">
        <v>10</v>
      </c>
      <c r="AL3" s="54" t="s">
        <v>48</v>
      </c>
      <c r="AM3" s="54" t="s">
        <v>10</v>
      </c>
      <c r="AN3" s="54" t="s">
        <v>48</v>
      </c>
      <c r="AO3" s="54" t="s">
        <v>10</v>
      </c>
      <c r="AP3" s="54" t="s">
        <v>48</v>
      </c>
      <c r="AQ3" s="54" t="s">
        <v>10</v>
      </c>
      <c r="AR3" s="54" t="s">
        <v>48</v>
      </c>
      <c r="AS3" s="54" t="s">
        <v>10</v>
      </c>
      <c r="AT3" s="54" t="s">
        <v>48</v>
      </c>
      <c r="AU3" s="54" t="s">
        <v>10</v>
      </c>
      <c r="AV3" s="54"/>
      <c r="AW3" s="54" t="s">
        <v>10</v>
      </c>
      <c r="AX3" s="54" t="s">
        <v>48</v>
      </c>
      <c r="AY3" s="54" t="s">
        <v>10</v>
      </c>
      <c r="AZ3" s="54" t="s">
        <v>48</v>
      </c>
      <c r="BA3" s="54" t="s">
        <v>10</v>
      </c>
    </row>
    <row r="4" spans="1:53" ht="15.75" x14ac:dyDescent="0.25">
      <c r="A4" s="5" t="s">
        <v>11</v>
      </c>
      <c r="B4" s="6"/>
      <c r="C4" s="6"/>
      <c r="D4" s="6">
        <f>('Vegetables 2013-14(Final)'!D3-'3rd Vegetables 2013-14'!D3)/'3rd Vegetables 2013-14'!D3*100</f>
        <v>0</v>
      </c>
      <c r="E4" s="6">
        <f>('Vegetables 2013-14(Final)'!E3-'3rd Vegetables 2013-14'!E3)/'3rd Vegetables 2013-14'!E3*100</f>
        <v>0</v>
      </c>
      <c r="F4" s="6">
        <f>('Vegetables 2013-14(Final)'!F3-'3rd Vegetables 2013-14'!F3)/'3rd Vegetables 2013-14'!F3*100</f>
        <v>0</v>
      </c>
      <c r="G4" s="6">
        <f>('Vegetables 2013-14(Final)'!G3-'3rd Vegetables 2013-14'!G3)/'3rd Vegetables 2013-14'!G3*100</f>
        <v>0</v>
      </c>
      <c r="H4" s="6">
        <f>('Vegetables 2013-14(Final)'!H3-'3rd Vegetables 2013-14'!H3)/'3rd Vegetables 2013-14'!H3*100</f>
        <v>0</v>
      </c>
      <c r="I4" s="6">
        <f>('Vegetables 2013-14(Final)'!I3-'3rd Vegetables 2013-14'!I3)/'3rd Vegetables 2013-14'!I3*100</f>
        <v>0</v>
      </c>
      <c r="J4" s="6">
        <f>('Vegetables 2013-14(Final)'!J3-'3rd Vegetables 2013-14'!J3)/'3rd Vegetables 2013-14'!J3*100</f>
        <v>0</v>
      </c>
      <c r="K4" s="6">
        <f>('Vegetables 2013-14(Final)'!K3-'3rd Vegetables 2013-14'!K3)/'3rd Vegetables 2013-14'!K3*100</f>
        <v>0</v>
      </c>
      <c r="L4" s="6"/>
      <c r="M4" s="6"/>
      <c r="N4" s="6"/>
      <c r="O4" s="6"/>
      <c r="P4" s="6">
        <f>('Vegetables 2013-14(Final)'!P3-'3rd Vegetables 2013-14'!P3)/'3rd Vegetables 2013-14'!P3*100</f>
        <v>0</v>
      </c>
      <c r="Q4" s="6">
        <f>('Vegetables 2013-14(Final)'!Q3-'3rd Vegetables 2013-14'!Q3)/'3rd Vegetables 2013-14'!Q3*100</f>
        <v>0</v>
      </c>
      <c r="R4" s="6">
        <f>('Vegetables 2013-14(Final)'!R3-'3rd Vegetables 2013-14'!R3)/'3rd Vegetables 2013-14'!R3*100</f>
        <v>0</v>
      </c>
      <c r="S4" s="6">
        <f>('Vegetables 2013-14(Final)'!S3-'3rd Vegetables 2013-14'!S3)/'3rd Vegetables 2013-14'!S3*100</f>
        <v>0</v>
      </c>
      <c r="T4" s="6"/>
      <c r="U4" s="6"/>
      <c r="V4" s="6"/>
      <c r="W4" s="6"/>
      <c r="X4" s="6">
        <f>('Vegetables 2013-14(Final)'!X3-'3rd Vegetables 2013-14'!T3)/'3rd Vegetables 2013-14'!T3*100</f>
        <v>0</v>
      </c>
      <c r="Y4" s="6">
        <f>('Vegetables 2013-14(Final)'!Y3-'3rd Vegetables 2013-14'!U3)/'3rd Vegetables 2013-14'!U3*100</f>
        <v>0</v>
      </c>
      <c r="Z4" s="6">
        <f>('Vegetables 2013-14(Final)'!Z3-'3rd Vegetables 2013-14'!V3)/'3rd Vegetables 2013-14'!V3*100</f>
        <v>0</v>
      </c>
      <c r="AA4" s="6">
        <f>('Vegetables 2013-14(Final)'!AA3-'3rd Vegetables 2013-14'!W3)/'3rd Vegetables 2013-14'!W3*100</f>
        <v>0</v>
      </c>
      <c r="AB4" s="6"/>
      <c r="AC4" s="6"/>
      <c r="AD4" s="6"/>
      <c r="AE4" s="6"/>
      <c r="AF4" s="6"/>
      <c r="AG4" s="6"/>
      <c r="AH4" s="6"/>
      <c r="AI4" s="6"/>
      <c r="AJ4" s="6">
        <f>('Vegetables 2013-14(Final)'!AJ3-'3rd Vegetables 2013-14'!AF3)/'3rd Vegetables 2013-14'!AF3*100</f>
        <v>0</v>
      </c>
      <c r="AK4" s="6">
        <f>('Vegetables 2013-14(Final)'!AK3-'3rd Vegetables 2013-14'!AG3)/'3rd Vegetables 2013-14'!AG3*100</f>
        <v>0</v>
      </c>
      <c r="AL4" s="6">
        <f>('Vegetables 2013-14(Final)'!AL3-'3rd Vegetables 2013-14'!AH3)/'3rd Vegetables 2013-14'!AH3*100</f>
        <v>0</v>
      </c>
      <c r="AM4" s="6">
        <f>('Vegetables 2013-14(Final)'!AM3-'3rd Vegetables 2013-14'!AI3)/'3rd Vegetables 2013-14'!AI3*100</f>
        <v>0</v>
      </c>
      <c r="AN4" s="6">
        <f>('Vegetables 2013-14(Final)'!AN3-'3rd Vegetables 2013-14'!AJ3)/'3rd Vegetables 2013-14'!AJ3*100</f>
        <v>0</v>
      </c>
      <c r="AO4" s="6">
        <f>('Vegetables 2013-14(Final)'!AO3-'3rd Vegetables 2013-14'!AK3)/'3rd Vegetables 2013-14'!AK3*100</f>
        <v>0</v>
      </c>
      <c r="AP4" s="6">
        <f>('Vegetables 2013-14(Final)'!AP3-'3rd Vegetables 2013-14'!AL3)/'3rd Vegetables 2013-14'!AL3*100</f>
        <v>0</v>
      </c>
      <c r="AQ4" s="6">
        <f>('Vegetables 2013-14(Final)'!AQ3-'3rd Vegetables 2013-14'!AM3)/'3rd Vegetables 2013-14'!AM3*100</f>
        <v>0</v>
      </c>
      <c r="AR4" s="6">
        <f>('Vegetables 2013-14(Final)'!AR3-'3rd Vegetables 2013-14'!AN3)/'3rd Vegetables 2013-14'!AN3*100</f>
        <v>0</v>
      </c>
      <c r="AS4" s="6">
        <f>('Vegetables 2013-14(Final)'!AS3-'3rd Vegetables 2013-14'!AO3)/'3rd Vegetables 2013-14'!AO3*100</f>
        <v>0</v>
      </c>
      <c r="AT4" s="6">
        <f>('Vegetables 2013-14(Final)'!AT3-'3rd Vegetables 2013-14'!AP3)/'3rd Vegetables 2013-14'!AP3*100</f>
        <v>0</v>
      </c>
      <c r="AU4" s="6">
        <f>('Vegetables 2013-14(Final)'!AU3-'3rd Vegetables 2013-14'!AQ3)/'3rd Vegetables 2013-14'!AQ3*100</f>
        <v>0</v>
      </c>
      <c r="AV4" s="6"/>
      <c r="AW4" s="6"/>
      <c r="AX4" s="6">
        <f>('Vegetables 2013-14(Final)'!AW3-'3rd Vegetables 2013-14'!AR3)/'3rd Vegetables 2013-14'!AR3*100</f>
        <v>-8.3636363636363633</v>
      </c>
      <c r="AY4" s="6">
        <f>('Vegetables 2013-14(Final)'!AX3-'3rd Vegetables 2013-14'!AS3)/'3rd Vegetables 2013-14'!AS3*100</f>
        <v>-2.147388970229386</v>
      </c>
      <c r="AZ4" s="2">
        <f>B4+D4+F4+H4+J4+L4+N4+P4+R4+T4+V4+X4+Z4+AB4+AD4+AF4+AH4+AJ4+AL4+AN4+AP4+AR4+AT4+AX4</f>
        <v>-8.3636363636363633</v>
      </c>
      <c r="BA4" s="2">
        <f>C4+E4+G4+I4+K4+M4+O4+Q4+S4+U4+W4+Y4+AA4+AC4+AE4+AG4+AI4+AK4+AM4+AO4+AQ4+AS4+AU4+AW4+AY4</f>
        <v>-2.147388970229386</v>
      </c>
    </row>
    <row r="5" spans="1:53" ht="15.75" x14ac:dyDescent="0.25">
      <c r="A5" s="5" t="s">
        <v>12</v>
      </c>
      <c r="B5" s="6">
        <f>('Vegetables 2013-14(Final)'!B4-'3rd Vegetables 2013-14'!B4)/'3rd Vegetables 2013-14'!B4*100</f>
        <v>-13.884076622283818</v>
      </c>
      <c r="C5" s="6">
        <f>('Vegetables 2013-14(Final)'!C4-'3rd Vegetables 2013-14'!C4)/'3rd Vegetables 2013-14'!C4*100</f>
        <v>-13.884317292184839</v>
      </c>
      <c r="D5" s="6">
        <f>('Vegetables 2013-14(Final)'!D4-'3rd Vegetables 2013-14'!D4)/'3rd Vegetables 2013-14'!D4*100</f>
        <v>-81.418211120064456</v>
      </c>
      <c r="E5" s="6">
        <f>('Vegetables 2013-14(Final)'!E4-'3rd Vegetables 2013-14'!E4)/'3rd Vegetables 2013-14'!E4*100</f>
        <v>-81.560021756501769</v>
      </c>
      <c r="F5" s="6">
        <f>('Vegetables 2013-14(Final)'!F4-'3rd Vegetables 2013-14'!F4)/'3rd Vegetables 2013-14'!F4*100</f>
        <v>-89.570393374741215</v>
      </c>
      <c r="G5" s="6">
        <f>('Vegetables 2013-14(Final)'!G4-'3rd Vegetables 2013-14'!G4)/'3rd Vegetables 2013-14'!G4*100</f>
        <v>-92.353059581320437</v>
      </c>
      <c r="H5" s="6">
        <f>('Vegetables 2013-14(Final)'!H4-'3rd Vegetables 2013-14'!H4)/'3rd Vegetables 2013-14'!H4*100</f>
        <v>-30.591739333261557</v>
      </c>
      <c r="I5" s="6">
        <f>('Vegetables 2013-14(Final)'!I4-'3rd Vegetables 2013-14'!I4)/'3rd Vegetables 2013-14'!I4*100</f>
        <v>-30.591694282814469</v>
      </c>
      <c r="J5" s="6">
        <f>('Vegetables 2013-14(Final)'!J4-'3rd Vegetables 2013-14'!J4)/'3rd Vegetables 2013-14'!J4*100</f>
        <v>-46.201743462017433</v>
      </c>
      <c r="K5" s="6">
        <f>('Vegetables 2013-14(Final)'!K4-'3rd Vegetables 2013-14'!K4)/'3rd Vegetables 2013-14'!K4*100</f>
        <v>-46.18961202244126</v>
      </c>
      <c r="L5" s="6"/>
      <c r="M5" s="6"/>
      <c r="N5" s="6">
        <f>('Vegetables 2013-14(Final)'!N4-'3rd Vegetables 2013-14'!N4)/'3rd Vegetables 2013-14'!N4*100</f>
        <v>-73.736600306278717</v>
      </c>
      <c r="O5" s="6">
        <f>('Vegetables 2013-14(Final)'!O4-'3rd Vegetables 2013-14'!O4)/'3rd Vegetables 2013-14'!O4*100</f>
        <v>-73.269559021370938</v>
      </c>
      <c r="P5" s="6">
        <f>('Vegetables 2013-14(Final)'!P4-'3rd Vegetables 2013-14'!P4)/'3rd Vegetables 2013-14'!P4*100</f>
        <v>51.313969571230999</v>
      </c>
      <c r="Q5" s="6">
        <f>('Vegetables 2013-14(Final)'!Q4-'3rd Vegetables 2013-14'!Q4)/'3rd Vegetables 2013-14'!Q4*100</f>
        <v>331.08949236940384</v>
      </c>
      <c r="R5" s="6">
        <f>('Vegetables 2013-14(Final)'!R4-'3rd Vegetables 2013-14'!R4)/'3rd Vegetables 2013-14'!R4*100</f>
        <v>-33.01638509211309</v>
      </c>
      <c r="S5" s="6">
        <f>('Vegetables 2013-14(Final)'!S4-'3rd Vegetables 2013-14'!S4)/'3rd Vegetables 2013-14'!S4*100</f>
        <v>-33.01495933302769</v>
      </c>
      <c r="T5" s="6"/>
      <c r="U5" s="6"/>
      <c r="V5" s="6"/>
      <c r="W5" s="6"/>
      <c r="X5" s="6">
        <f>('Vegetables 2013-14(Final)'!X4-'3rd Vegetables 2013-14'!T4)/'3rd Vegetables 2013-14'!T4*100</f>
        <v>-6.0070671378091847</v>
      </c>
      <c r="Y5" s="6">
        <f>('Vegetables 2013-14(Final)'!Y4-'3rd Vegetables 2013-14'!U4)/'3rd Vegetables 2013-14'!U4*100</f>
        <v>144.89363205880272</v>
      </c>
      <c r="Z5" s="6">
        <f>('Vegetables 2013-14(Final)'!Z4-'3rd Vegetables 2013-14'!V4)/'3rd Vegetables 2013-14'!V4*100</f>
        <v>-42.632441715237306</v>
      </c>
      <c r="AA5" s="6">
        <f>('Vegetables 2013-14(Final)'!AA4-'3rd Vegetables 2013-14'!W4)/'3rd Vegetables 2013-14'!W4*100</f>
        <v>-42.633111383452892</v>
      </c>
      <c r="AB5" s="6">
        <f>('Vegetables 2013-14(Final)'!AB4-'3rd Vegetables 2013-14'!X4)/'3rd Vegetables 2013-14'!X4*100</f>
        <v>-37.795512556148779</v>
      </c>
      <c r="AC5" s="6">
        <f>('Vegetables 2013-14(Final)'!AC4-'3rd Vegetables 2013-14'!Y4)/'3rd Vegetables 2013-14'!Y4*100</f>
        <v>-34.135467111466042</v>
      </c>
      <c r="AD5" s="6"/>
      <c r="AE5" s="6"/>
      <c r="AF5" s="6">
        <f>('Vegetables 2013-14(Final)'!AF4-'3rd Vegetables 2013-14'!AB4)/'3rd Vegetables 2013-14'!AB4*100</f>
        <v>-21.164725457570704</v>
      </c>
      <c r="AG5" s="6">
        <f>('Vegetables 2013-14(Final)'!AG4-'3rd Vegetables 2013-14'!AC4)/'3rd Vegetables 2013-14'!AC4*100</f>
        <v>-77.476775033993562</v>
      </c>
      <c r="AH5" s="6">
        <f>('Vegetables 2013-14(Final)'!AH4-'3rd Vegetables 2013-14'!AD4)/'3rd Vegetables 2013-14'!AD4*100</f>
        <v>-73.983491287068176</v>
      </c>
      <c r="AI5" s="6">
        <f>('Vegetables 2013-14(Final)'!AI4-'3rd Vegetables 2013-14'!AE4)/'3rd Vegetables 2013-14'!AE4*100</f>
        <v>-73.983756407251533</v>
      </c>
      <c r="AJ5" s="6">
        <f>('Vegetables 2013-14(Final)'!AJ4-'3rd Vegetables 2013-14'!AF4)/'3rd Vegetables 2013-14'!AF4*100</f>
        <v>-91.395348837209312</v>
      </c>
      <c r="AK5" s="6">
        <f>('Vegetables 2013-14(Final)'!AK4-'3rd Vegetables 2013-14'!AG4)/'3rd Vegetables 2013-14'!AG4*100</f>
        <v>-95.479256911939984</v>
      </c>
      <c r="AL5" s="6"/>
      <c r="AM5" s="6"/>
      <c r="AN5" s="6">
        <f>('Vegetables 2013-14(Final)'!AN4-'3rd Vegetables 2013-14'!AJ4)/'3rd Vegetables 2013-14'!AJ4*100</f>
        <v>4.152249134948101</v>
      </c>
      <c r="AO5" s="6">
        <f>('Vegetables 2013-14(Final)'!AO4-'3rd Vegetables 2013-14'!AK4)/'3rd Vegetables 2013-14'!AK4*100</f>
        <v>4.3146768324380469</v>
      </c>
      <c r="AP5" s="6">
        <f>('Vegetables 2013-14(Final)'!AP4-'3rd Vegetables 2013-14'!AL4)/'3rd Vegetables 2013-14'!AL4*100</f>
        <v>215.11647972389989</v>
      </c>
      <c r="AQ5" s="6">
        <f>('Vegetables 2013-14(Final)'!AQ4-'3rd Vegetables 2013-14'!AM4)/'3rd Vegetables 2013-14'!AM4*100</f>
        <v>215.08510987067439</v>
      </c>
      <c r="AR5" s="6">
        <f>('Vegetables 2013-14(Final)'!AR4-'3rd Vegetables 2013-14'!AN4)/'3rd Vegetables 2013-14'!AN4*100</f>
        <v>-37.897850975281031</v>
      </c>
      <c r="AS5" s="6">
        <f>('Vegetables 2013-14(Final)'!AS4-'3rd Vegetables 2013-14'!AO4)/'3rd Vegetables 2013-14'!AO4*100</f>
        <v>-37.897751392617003</v>
      </c>
      <c r="AT5" s="6">
        <f>('Vegetables 2013-14(Final)'!AT4-'3rd Vegetables 2013-14'!AP4)/'3rd Vegetables 2013-14'!AP4*100</f>
        <v>-52.192422307364829</v>
      </c>
      <c r="AU5" s="6">
        <f>('Vegetables 2013-14(Final)'!AU4-'3rd Vegetables 2013-14'!AQ4)/'3rd Vegetables 2013-14'!AQ4*100</f>
        <v>-16.830800842334689</v>
      </c>
      <c r="AV5" s="6"/>
      <c r="AW5" s="6"/>
      <c r="AX5" s="6">
        <f>('Vegetables 2013-14(Final)'!AW4-'3rd Vegetables 2013-14'!AR4)/'3rd Vegetables 2013-14'!AR4*100</f>
        <v>-51.852739915524651</v>
      </c>
      <c r="AY5" s="6">
        <f>('Vegetables 2013-14(Final)'!AX4-'3rd Vegetables 2013-14'!AS4)/'3rd Vegetables 2013-14'!AS4*100</f>
        <v>-42.223230523492816</v>
      </c>
      <c r="AZ5" s="2">
        <f t="shared" ref="AZ5:AZ37" si="0">B5+D5+F5+H5+J5+L5+N5+P5+R5+T5+V5+X5+Z5+AB5+AD5+AF5+AH5+AJ5+AL5+AN5+AP5+AR5+AT5+AX5</f>
        <v>-512.75805106989526</v>
      </c>
      <c r="BA5" s="2">
        <f t="shared" ref="BA5:BA37" si="1">C5+E5+G5+I5+K5+M5+O5+Q5+S5+U5+W5+Y5+AA5+AC5+AE5+AG5+AI5+AK5+AM5+AO5+AQ5+AS5+AU5+AW5+AY5</f>
        <v>-96.140461764890901</v>
      </c>
    </row>
    <row r="6" spans="1:53" ht="15.75" x14ac:dyDescent="0.25">
      <c r="A6" s="7" t="s">
        <v>111</v>
      </c>
      <c r="B6" s="6"/>
      <c r="C6" s="6"/>
      <c r="D6" s="6"/>
      <c r="E6" s="6"/>
      <c r="F6" s="6"/>
      <c r="G6" s="6"/>
      <c r="H6" s="6"/>
      <c r="I6" s="6"/>
      <c r="J6" s="6">
        <f>('Vegetables 2013-14(Final)'!J5-'3rd Vegetables 2013-14'!J5)/'3rd Vegetables 2013-14'!J5*100</f>
        <v>0</v>
      </c>
      <c r="K6" s="6">
        <f>('Vegetables 2013-14(Final)'!K5-'3rd Vegetables 2013-14'!K5)/'3rd Vegetables 2013-14'!K5*100</f>
        <v>0</v>
      </c>
      <c r="L6" s="6"/>
      <c r="M6" s="6"/>
      <c r="N6" s="6"/>
      <c r="O6" s="6"/>
      <c r="P6" s="6">
        <f>('Vegetables 2013-14(Final)'!P5-'3rd Vegetables 2013-14'!P5)/'3rd Vegetables 2013-14'!P5*100</f>
        <v>0</v>
      </c>
      <c r="Q6" s="6">
        <f>('Vegetables 2013-14(Final)'!Q5-'3rd Vegetables 2013-14'!Q5)/'3rd Vegetables 2013-14'!Q5*100</f>
        <v>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>
        <f>('Vegetables 2013-14(Final)'!AR5-'3rd Vegetables 2013-14'!AN5)/'3rd Vegetables 2013-14'!AN5*100</f>
        <v>0</v>
      </c>
      <c r="AS6" s="6">
        <f>('Vegetables 2013-14(Final)'!AS5-'3rd Vegetables 2013-14'!AO5)/'3rd Vegetables 2013-14'!AO5*100</f>
        <v>0</v>
      </c>
      <c r="AT6" s="6"/>
      <c r="AU6" s="6"/>
      <c r="AV6" s="6"/>
      <c r="AW6" s="6"/>
      <c r="AX6" s="6">
        <f>('Vegetables 2013-14(Final)'!AW5-'3rd Vegetables 2013-14'!AR5)/'3rd Vegetables 2013-14'!AR5*100</f>
        <v>0</v>
      </c>
      <c r="AY6" s="6">
        <f>('Vegetables 2013-14(Final)'!AX5-'3rd Vegetables 2013-14'!AS5)/'3rd Vegetables 2013-14'!AS5*100</f>
        <v>0</v>
      </c>
      <c r="AZ6" s="2">
        <f t="shared" si="0"/>
        <v>0</v>
      </c>
      <c r="BA6" s="2">
        <f t="shared" si="1"/>
        <v>0</v>
      </c>
    </row>
    <row r="7" spans="1:53" ht="15.75" x14ac:dyDescent="0.25">
      <c r="A7" s="5" t="s">
        <v>14</v>
      </c>
      <c r="B7" s="6"/>
      <c r="C7" s="6"/>
      <c r="D7" s="6">
        <f>('Vegetables 2013-14(Final)'!D6-'3rd Vegetables 2013-14'!D6)/'3rd Vegetables 2013-14'!D6*100</f>
        <v>0</v>
      </c>
      <c r="E7" s="6">
        <f>('Vegetables 2013-14(Final)'!E6-'3rd Vegetables 2013-14'!E6)/'3rd Vegetables 2013-14'!E6*100</f>
        <v>0</v>
      </c>
      <c r="F7" s="6"/>
      <c r="G7" s="6"/>
      <c r="H7" s="6">
        <f>('Vegetables 2013-14(Final)'!H6-'3rd Vegetables 2013-14'!H6)/'3rd Vegetables 2013-14'!H6*100</f>
        <v>0</v>
      </c>
      <c r="I7" s="6">
        <f>('Vegetables 2013-14(Final)'!I6-'3rd Vegetables 2013-14'!I6)/'3rd Vegetables 2013-14'!I6*100</f>
        <v>0</v>
      </c>
      <c r="J7" s="6">
        <f>('Vegetables 2013-14(Final)'!J6-'3rd Vegetables 2013-14'!J6)/'3rd Vegetables 2013-14'!J6*100</f>
        <v>-0.62413749843182043</v>
      </c>
      <c r="K7" s="6">
        <f>('Vegetables 2013-14(Final)'!K6-'3rd Vegetables 2013-14'!K6)/'3rd Vegetables 2013-14'!K6*100</f>
        <v>-0.69608059594055594</v>
      </c>
      <c r="L7" s="6"/>
      <c r="M7" s="6"/>
      <c r="N7" s="6">
        <f>('Vegetables 2013-14(Final)'!N6-'3rd Vegetables 2013-14'!N6)/'3rd Vegetables 2013-14'!N6*100</f>
        <v>-2.9356505401596995</v>
      </c>
      <c r="O7" s="6">
        <f>('Vegetables 2013-14(Final)'!O6-'3rd Vegetables 2013-14'!O6)/'3rd Vegetables 2013-14'!O6*100</f>
        <v>-3.6999230723711527</v>
      </c>
      <c r="P7" s="6">
        <f>('Vegetables 2013-14(Final)'!P6-'3rd Vegetables 2013-14'!P6)/'3rd Vegetables 2013-14'!P6*100</f>
        <v>-0.98513180698712732</v>
      </c>
      <c r="Q7" s="6">
        <f>('Vegetables 2013-14(Final)'!Q6-'3rd Vegetables 2013-14'!Q6)/'3rd Vegetables 2013-14'!Q6*100</f>
        <v>-25.709041935143134</v>
      </c>
      <c r="R7" s="6">
        <f>('Vegetables 2013-14(Final)'!R6-'3rd Vegetables 2013-14'!R6)/'3rd Vegetables 2013-14'!R6*100</f>
        <v>0</v>
      </c>
      <c r="S7" s="6">
        <f>('Vegetables 2013-14(Final)'!S6-'3rd Vegetables 2013-14'!S6)/'3rd Vegetables 2013-14'!S6*100</f>
        <v>0</v>
      </c>
      <c r="T7" s="6"/>
      <c r="U7" s="6"/>
      <c r="V7" s="6"/>
      <c r="W7" s="6"/>
      <c r="X7" s="6"/>
      <c r="Y7" s="6"/>
      <c r="Z7" s="6">
        <f>('Vegetables 2013-14(Final)'!Z6-'3rd Vegetables 2013-14'!V6)/'3rd Vegetables 2013-14'!V6*100</f>
        <v>0</v>
      </c>
      <c r="AA7" s="6">
        <f>('Vegetables 2013-14(Final)'!AA6-'3rd Vegetables 2013-14'!W6)/'3rd Vegetables 2013-14'!W6*100</f>
        <v>0</v>
      </c>
      <c r="AB7" s="6">
        <f>('Vegetables 2013-14(Final)'!AB6-'3rd Vegetables 2013-14'!X6)/'3rd Vegetables 2013-14'!X6*100</f>
        <v>-13.635307781649239</v>
      </c>
      <c r="AC7" s="6">
        <f>('Vegetables 2013-14(Final)'!AC6-'3rd Vegetables 2013-14'!Y6)/'3rd Vegetables 2013-14'!Y6*100</f>
        <v>-12.967829632985941</v>
      </c>
      <c r="AD7" s="6"/>
      <c r="AE7" s="6"/>
      <c r="AF7" s="6">
        <f>('Vegetables 2013-14(Final)'!AF6-'3rd Vegetables 2013-14'!AB6)/'3rd Vegetables 2013-14'!AB6*100</f>
        <v>-4.798310994530107E-2</v>
      </c>
      <c r="AG7" s="6">
        <f>('Vegetables 2013-14(Final)'!AG6-'3rd Vegetables 2013-14'!AC6)/'3rd Vegetables 2013-14'!AC6*100</f>
        <v>31.473491047959136</v>
      </c>
      <c r="AH7" s="6">
        <f>('Vegetables 2013-14(Final)'!AH6-'3rd Vegetables 2013-14'!AD6)/'3rd Vegetables 2013-14'!AD6*100</f>
        <v>-2.7915331103811711</v>
      </c>
      <c r="AI7" s="6">
        <f>('Vegetables 2013-14(Final)'!AI6-'3rd Vegetables 2013-14'!AE6)/'3rd Vegetables 2013-14'!AE6*100</f>
        <v>-29.640415880308797</v>
      </c>
      <c r="AJ7" s="6">
        <f>('Vegetables 2013-14(Final)'!AJ6-'3rd Vegetables 2013-14'!AF6)/'3rd Vegetables 2013-14'!AF6*100</f>
        <v>0</v>
      </c>
      <c r="AK7" s="6">
        <f>('Vegetables 2013-14(Final)'!AK6-'3rd Vegetables 2013-14'!AG6)/'3rd Vegetables 2013-14'!AG6*100</f>
        <v>0</v>
      </c>
      <c r="AL7" s="6"/>
      <c r="AM7" s="6"/>
      <c r="AN7" s="6">
        <f>('Vegetables 2013-14(Final)'!AN6-'3rd Vegetables 2013-14'!AJ6)/'3rd Vegetables 2013-14'!AJ6*100</f>
        <v>-37.759934115709285</v>
      </c>
      <c r="AO7" s="6">
        <f>('Vegetables 2013-14(Final)'!AO6-'3rd Vegetables 2013-14'!AK6)/'3rd Vegetables 2013-14'!AK6*100</f>
        <v>-39.183209758430991</v>
      </c>
      <c r="AP7" s="6">
        <f>('Vegetables 2013-14(Final)'!AP6-'3rd Vegetables 2013-14'!AL6)/'3rd Vegetables 2013-14'!AL6*100</f>
        <v>-30.796460176991143</v>
      </c>
      <c r="AQ7" s="6">
        <f>('Vegetables 2013-14(Final)'!AQ6-'3rd Vegetables 2013-14'!AM6)/'3rd Vegetables 2013-14'!AM6*100</f>
        <v>-29.463100949270189</v>
      </c>
      <c r="AR7" s="6">
        <f>('Vegetables 2013-14(Final)'!AR6-'3rd Vegetables 2013-14'!AN6)/'3rd Vegetables 2013-14'!AN6*100</f>
        <v>0</v>
      </c>
      <c r="AS7" s="6">
        <f>('Vegetables 2013-14(Final)'!AS6-'3rd Vegetables 2013-14'!AO6)/'3rd Vegetables 2013-14'!AO6*100</f>
        <v>0</v>
      </c>
      <c r="AT7" s="6"/>
      <c r="AU7" s="6"/>
      <c r="AV7" s="6"/>
      <c r="AW7" s="6"/>
      <c r="AX7" s="6"/>
      <c r="AY7" s="6"/>
      <c r="AZ7" s="2"/>
      <c r="BA7" s="2"/>
    </row>
    <row r="8" spans="1:53" ht="15.75" x14ac:dyDescent="0.25">
      <c r="A8" s="5" t="s">
        <v>15</v>
      </c>
      <c r="B8" s="6"/>
      <c r="C8" s="6"/>
      <c r="D8" s="6">
        <f>('Vegetables 2013-14(Final)'!D7-'3rd Vegetables 2013-14'!D7)/'3rd Vegetables 2013-14'!D7*100</f>
        <v>-6.7643091154364994</v>
      </c>
      <c r="E8" s="6">
        <f>('Vegetables 2013-14(Final)'!E7-'3rd Vegetables 2013-14'!E7)/'3rd Vegetables 2013-14'!E7*100</f>
        <v>-13.831345469763543</v>
      </c>
      <c r="F8" s="6">
        <f>('Vegetables 2013-14(Final)'!F7-'3rd Vegetables 2013-14'!F7)/'3rd Vegetables 2013-14'!F7*100</f>
        <v>-4.355164411223968</v>
      </c>
      <c r="G8" s="6">
        <f>('Vegetables 2013-14(Final)'!G7-'3rd Vegetables 2013-14'!G7)/'3rd Vegetables 2013-14'!G7*100</f>
        <v>-16.658815126625083</v>
      </c>
      <c r="H8" s="6">
        <f>('Vegetables 2013-14(Final)'!H7-'3rd Vegetables 2013-14'!H7)/'3rd Vegetables 2013-14'!H7*100</f>
        <v>1.9596715555003759</v>
      </c>
      <c r="I8" s="6">
        <f>('Vegetables 2013-14(Final)'!I7-'3rd Vegetables 2013-14'!I7)/'3rd Vegetables 2013-14'!I7*100</f>
        <v>-4.282232097180275</v>
      </c>
      <c r="J8" s="6">
        <f>('Vegetables 2013-14(Final)'!J7-'3rd Vegetables 2013-14'!J7)/'3rd Vegetables 2013-14'!J7*100</f>
        <v>0.16277672042471633</v>
      </c>
      <c r="K8" s="6">
        <f>('Vegetables 2013-14(Final)'!K7-'3rd Vegetables 2013-14'!K7)/'3rd Vegetables 2013-14'!K7*100</f>
        <v>-5.7624771612655046</v>
      </c>
      <c r="L8" s="6"/>
      <c r="M8" s="6"/>
      <c r="N8" s="6">
        <f>('Vegetables 2013-14(Final)'!N7-'3rd Vegetables 2013-14'!N7)/'3rd Vegetables 2013-14'!N7*100</f>
        <v>-5.8715969118244562</v>
      </c>
      <c r="O8" s="6">
        <f>('Vegetables 2013-14(Final)'!O7-'3rd Vegetables 2013-14'!O7)/'3rd Vegetables 2013-14'!O7*100</f>
        <v>-10.682819383259904</v>
      </c>
      <c r="P8" s="6">
        <f>('Vegetables 2013-14(Final)'!P7-'3rd Vegetables 2013-14'!P7)/'3rd Vegetables 2013-14'!P7*100</f>
        <v>2.7770393883007776</v>
      </c>
      <c r="Q8" s="6">
        <f>('Vegetables 2013-14(Final)'!Q7-'3rd Vegetables 2013-14'!Q7)/'3rd Vegetables 2013-14'!Q7*100</f>
        <v>-4.5912832700331068</v>
      </c>
      <c r="R8" s="6">
        <f>('Vegetables 2013-14(Final)'!R7-'3rd Vegetables 2013-14'!R7)/'3rd Vegetables 2013-14'!R7*100</f>
        <v>-13.240857503152585</v>
      </c>
      <c r="S8" s="6">
        <f>('Vegetables 2013-14(Final)'!S7-'3rd Vegetables 2013-14'!S7)/'3rd Vegetables 2013-14'!S7*100</f>
        <v>-17.52919129306617</v>
      </c>
      <c r="T8" s="6"/>
      <c r="U8" s="6"/>
      <c r="V8" s="6"/>
      <c r="W8" s="6"/>
      <c r="X8" s="6">
        <f>('Vegetables 2013-14(Final)'!X7-'3rd Vegetables 2013-14'!T7)/'3rd Vegetables 2013-14'!T7*100</f>
        <v>-19.900849858356935</v>
      </c>
      <c r="Y8" s="6">
        <f>('Vegetables 2013-14(Final)'!Y7-'3rd Vegetables 2013-14'!U7)/'3rd Vegetables 2013-14'!U7*100</f>
        <v>-23.736394007974994</v>
      </c>
      <c r="Z8" s="6">
        <f>('Vegetables 2013-14(Final)'!Z7-'3rd Vegetables 2013-14'!V7)/'3rd Vegetables 2013-14'!V7*100</f>
        <v>-2.4178372202432961</v>
      </c>
      <c r="AA8" s="6">
        <f>('Vegetables 2013-14(Final)'!AA7-'3rd Vegetables 2013-14'!W7)/'3rd Vegetables 2013-14'!W7*100</f>
        <v>-9.2840140228682007</v>
      </c>
      <c r="AB8" s="6">
        <f>('Vegetables 2013-14(Final)'!AB7-'3rd Vegetables 2013-14'!X7)/'3rd Vegetables 2013-14'!X7*100</f>
        <v>-3.128623221746326E-2</v>
      </c>
      <c r="AC8" s="6">
        <f>('Vegetables 2013-14(Final)'!AC7-'3rd Vegetables 2013-14'!Y7)/'3rd Vegetables 2013-14'!Y7*100</f>
        <v>0.21931813116976653</v>
      </c>
      <c r="AD8" s="6">
        <f>('Vegetables 2013-14(Final)'!AD7-'3rd Vegetables 2013-14'!Z7)/'3rd Vegetables 2013-14'!Z7*100</f>
        <v>-19.498815609026316</v>
      </c>
      <c r="AE8" s="6">
        <f>('Vegetables 2013-14(Final)'!AE7-'3rd Vegetables 2013-14'!AA7)/'3rd Vegetables 2013-14'!AA7*100</f>
        <v>-41.042591288261299</v>
      </c>
      <c r="AF8" s="6">
        <f>('Vegetables 2013-14(Final)'!AF7-'3rd Vegetables 2013-14'!AB7)/'3rd Vegetables 2013-14'!AB7*100</f>
        <v>-1.0226940683743904</v>
      </c>
      <c r="AG8" s="6">
        <f>('Vegetables 2013-14(Final)'!AG7-'3rd Vegetables 2013-14'!AC7)/'3rd Vegetables 2013-14'!AC7*100</f>
        <v>-17.140283553175482</v>
      </c>
      <c r="AH8" s="6">
        <f>('Vegetables 2013-14(Final)'!AH7-'3rd Vegetables 2013-14'!AD7)/'3rd Vegetables 2013-14'!AD7*100</f>
        <v>0</v>
      </c>
      <c r="AI8" s="6">
        <f>('Vegetables 2013-14(Final)'!AI7-'3rd Vegetables 2013-14'!AE7)/'3rd Vegetables 2013-14'!AE7*100</f>
        <v>2.0435246233085822</v>
      </c>
      <c r="AJ8" s="6">
        <f>('Vegetables 2013-14(Final)'!AJ7-'3rd Vegetables 2013-14'!AF7)/'3rd Vegetables 2013-14'!AF7*100</f>
        <v>-2.9928510844541365</v>
      </c>
      <c r="AK8" s="6">
        <f>('Vegetables 2013-14(Final)'!AK7-'3rd Vegetables 2013-14'!AG7)/'3rd Vegetables 2013-14'!AG7*100</f>
        <v>-5.5124743978102897</v>
      </c>
      <c r="AL8" s="6">
        <f>('Vegetables 2013-14(Final)'!AL7-'3rd Vegetables 2013-14'!AH7)/'3rd Vegetables 2013-14'!AH7*100</f>
        <v>-2.7072758037225069</v>
      </c>
      <c r="AM8" s="6">
        <f>('Vegetables 2013-14(Final)'!AM7-'3rd Vegetables 2013-14'!AI7)/'3rd Vegetables 2013-14'!AI7*100</f>
        <v>52.297719643477272</v>
      </c>
      <c r="AN8" s="6">
        <f>('Vegetables 2013-14(Final)'!AN7-'3rd Vegetables 2013-14'!AJ7)/'3rd Vegetables 2013-14'!AJ7*100</f>
        <v>78.571428571428569</v>
      </c>
      <c r="AO8" s="6">
        <f>('Vegetables 2013-14(Final)'!AO7-'3rd Vegetables 2013-14'!AK7)/'3rd Vegetables 2013-14'!AK7*100</f>
        <v>-17.121785927845323</v>
      </c>
      <c r="AP8" s="6"/>
      <c r="AQ8" s="6"/>
      <c r="AR8" s="6">
        <f>('Vegetables 2013-14(Final)'!AR7-'3rd Vegetables 2013-14'!AN7)/'3rd Vegetables 2013-14'!AN7*100</f>
        <v>-0.46957175056347428</v>
      </c>
      <c r="AS8" s="6">
        <f>('Vegetables 2013-14(Final)'!AS7-'3rd Vegetables 2013-14'!AO7)/'3rd Vegetables 2013-14'!AO7*100</f>
        <v>9.4182355875222792E-5</v>
      </c>
      <c r="AT8" s="6">
        <f>('Vegetables 2013-14(Final)'!AT7-'3rd Vegetables 2013-14'!AP7)/'3rd Vegetables 2013-14'!AP7*100</f>
        <v>-11.299435028248583</v>
      </c>
      <c r="AU8" s="6">
        <f>('Vegetables 2013-14(Final)'!AU7-'3rd Vegetables 2013-14'!AQ7)/'3rd Vegetables 2013-14'!AQ7*100</f>
        <v>-18.325611119987219</v>
      </c>
      <c r="AV8" s="6"/>
      <c r="AW8" s="6"/>
      <c r="AX8" s="6">
        <f>('Vegetables 2013-14(Final)'!AW7-'3rd Vegetables 2013-14'!AR7)/'3rd Vegetables 2013-14'!AR7*100</f>
        <v>-79.328797927756113</v>
      </c>
      <c r="AY8" s="6">
        <f>('Vegetables 2013-14(Final)'!AX7-'3rd Vegetables 2013-14'!AS7)/'3rd Vegetables 2013-14'!AS7*100</f>
        <v>-77.987923011363335</v>
      </c>
      <c r="AZ8" s="2">
        <f t="shared" si="0"/>
        <v>-86.430426288946279</v>
      </c>
      <c r="BA8" s="2">
        <f t="shared" si="1"/>
        <v>-228.92858455016824</v>
      </c>
    </row>
    <row r="9" spans="1:53" ht="15.75" x14ac:dyDescent="0.25">
      <c r="A9" s="5" t="s">
        <v>55</v>
      </c>
      <c r="B9" s="6">
        <f>('Vegetables 2013-14(Final)'!B8-'3rd Vegetables 2013-14'!B8)/'3rd Vegetables 2013-14'!B8*100</f>
        <v>0</v>
      </c>
      <c r="C9" s="6">
        <f>('Vegetables 2013-14(Final)'!C8-'3rd Vegetables 2013-14'!C8)/'3rd Vegetables 2013-14'!C8*100</f>
        <v>0</v>
      </c>
      <c r="D9" s="6">
        <f>('Vegetables 2013-14(Final)'!D8-'3rd Vegetables 2013-14'!D8)/'3rd Vegetables 2013-14'!D8*100</f>
        <v>0</v>
      </c>
      <c r="E9" s="6">
        <f>('Vegetables 2013-14(Final)'!E8-'3rd Vegetables 2013-14'!E8)/'3rd Vegetables 2013-14'!E8*100</f>
        <v>0</v>
      </c>
      <c r="F9" s="6">
        <f>('Vegetables 2013-14(Final)'!F8-'3rd Vegetables 2013-14'!F8)/'3rd Vegetables 2013-14'!F8*100</f>
        <v>0</v>
      </c>
      <c r="G9" s="6">
        <f>('Vegetables 2013-14(Final)'!G8-'3rd Vegetables 2013-14'!G8)/'3rd Vegetables 2013-14'!G8*100</f>
        <v>0</v>
      </c>
      <c r="H9" s="6">
        <f>('Vegetables 2013-14(Final)'!H8-'3rd Vegetables 2013-14'!H8)/'3rd Vegetables 2013-14'!H8*100</f>
        <v>0</v>
      </c>
      <c r="I9" s="6">
        <f>('Vegetables 2013-14(Final)'!I8-'3rd Vegetables 2013-14'!I8)/'3rd Vegetables 2013-14'!I8*100</f>
        <v>0</v>
      </c>
      <c r="J9" s="6">
        <f>('Vegetables 2013-14(Final)'!J8-'3rd Vegetables 2013-14'!J8)/'3rd Vegetables 2013-14'!J8*100</f>
        <v>0</v>
      </c>
      <c r="K9" s="6">
        <f>('Vegetables 2013-14(Final)'!K8-'3rd Vegetables 2013-14'!K8)/'3rd Vegetables 2013-14'!K8*100</f>
        <v>0</v>
      </c>
      <c r="L9" s="6"/>
      <c r="M9" s="6"/>
      <c r="N9" s="6">
        <f>('Vegetables 2013-14(Final)'!N8-'3rd Vegetables 2013-14'!N8)/'3rd Vegetables 2013-14'!N8*100</f>
        <v>0</v>
      </c>
      <c r="O9" s="6">
        <f>('Vegetables 2013-14(Final)'!O8-'3rd Vegetables 2013-14'!O8)/'3rd Vegetables 2013-14'!O8*100</f>
        <v>0</v>
      </c>
      <c r="P9" s="6">
        <f>('Vegetables 2013-14(Final)'!P8-'3rd Vegetables 2013-14'!P8)/'3rd Vegetables 2013-14'!P8*100</f>
        <v>0</v>
      </c>
      <c r="Q9" s="6">
        <f>('Vegetables 2013-14(Final)'!Q8-'3rd Vegetables 2013-14'!Q8)/'3rd Vegetables 2013-14'!Q8*100</f>
        <v>0</v>
      </c>
      <c r="R9" s="6"/>
      <c r="S9" s="6"/>
      <c r="T9" s="6"/>
      <c r="U9" s="6"/>
      <c r="V9" s="6"/>
      <c r="W9" s="6"/>
      <c r="X9" s="6">
        <f>('Vegetables 2013-14(Final)'!X8-'3rd Vegetables 2013-14'!T8)/'3rd Vegetables 2013-14'!T8*100</f>
        <v>0</v>
      </c>
      <c r="Y9" s="6">
        <f>('Vegetables 2013-14(Final)'!Y8-'3rd Vegetables 2013-14'!U8)/'3rd Vegetables 2013-14'!U8*100</f>
        <v>0</v>
      </c>
      <c r="Z9" s="6">
        <f>('Vegetables 2013-14(Final)'!Z8-'3rd Vegetables 2013-14'!V8)/'3rd Vegetables 2013-14'!V8*100</f>
        <v>0</v>
      </c>
      <c r="AA9" s="6">
        <f>('Vegetables 2013-14(Final)'!AA8-'3rd Vegetables 2013-14'!W8)/'3rd Vegetables 2013-14'!W8*100</f>
        <v>0</v>
      </c>
      <c r="AB9" s="6">
        <f>('Vegetables 2013-14(Final)'!AB8-'3rd Vegetables 2013-14'!X8)/'3rd Vegetables 2013-14'!X8*100</f>
        <v>0</v>
      </c>
      <c r="AC9" s="6">
        <f>('Vegetables 2013-14(Final)'!AC8-'3rd Vegetables 2013-14'!Y8)/'3rd Vegetables 2013-14'!Y8*100</f>
        <v>0</v>
      </c>
      <c r="AD9" s="6">
        <f>('Vegetables 2013-14(Final)'!AD8-'3rd Vegetables 2013-14'!Z8)/'3rd Vegetables 2013-14'!Z8*100</f>
        <v>0</v>
      </c>
      <c r="AE9" s="6">
        <f>('Vegetables 2013-14(Final)'!AE8-'3rd Vegetables 2013-14'!AA8)/'3rd Vegetables 2013-14'!AA8*100</f>
        <v>0</v>
      </c>
      <c r="AF9" s="6"/>
      <c r="AG9" s="6"/>
      <c r="AH9" s="6">
        <f>('Vegetables 2013-14(Final)'!AH8-'3rd Vegetables 2013-14'!AD8)/'3rd Vegetables 2013-14'!AD8*100</f>
        <v>0</v>
      </c>
      <c r="AI9" s="6">
        <f>('Vegetables 2013-14(Final)'!AI8-'3rd Vegetables 2013-14'!AE8)/'3rd Vegetables 2013-14'!AE8*100</f>
        <v>0</v>
      </c>
      <c r="AJ9" s="6">
        <f>('Vegetables 2013-14(Final)'!AJ8-'3rd Vegetables 2013-14'!AF8)/'3rd Vegetables 2013-14'!AF8*100</f>
        <v>0</v>
      </c>
      <c r="AK9" s="6">
        <f>('Vegetables 2013-14(Final)'!AK8-'3rd Vegetables 2013-14'!AG8)/'3rd Vegetables 2013-14'!AG8*100</f>
        <v>0</v>
      </c>
      <c r="AL9" s="6"/>
      <c r="AM9" s="6"/>
      <c r="AN9" s="6">
        <f>('Vegetables 2013-14(Final)'!AN8-'3rd Vegetables 2013-14'!AJ8)/'3rd Vegetables 2013-14'!AJ8*100</f>
        <v>0</v>
      </c>
      <c r="AO9" s="6">
        <f>('Vegetables 2013-14(Final)'!AO8-'3rd Vegetables 2013-14'!AK8)/'3rd Vegetables 2013-14'!AK8*100</f>
        <v>0</v>
      </c>
      <c r="AP9" s="6"/>
      <c r="AQ9" s="6"/>
      <c r="AR9" s="6">
        <f>('Vegetables 2013-14(Final)'!AR8-'3rd Vegetables 2013-14'!AN8)/'3rd Vegetables 2013-14'!AN8*100</f>
        <v>0</v>
      </c>
      <c r="AS9" s="6">
        <f>('Vegetables 2013-14(Final)'!AS8-'3rd Vegetables 2013-14'!AO8)/'3rd Vegetables 2013-14'!AO8*100</f>
        <v>0</v>
      </c>
      <c r="AT9" s="6">
        <f>('Vegetables 2013-14(Final)'!AT8-'3rd Vegetables 2013-14'!AP8)/'3rd Vegetables 2013-14'!AP8*100</f>
        <v>0</v>
      </c>
      <c r="AU9" s="6">
        <f>('Vegetables 2013-14(Final)'!AU8-'3rd Vegetables 2013-14'!AQ8)/'3rd Vegetables 2013-14'!AQ8*100</f>
        <v>0</v>
      </c>
      <c r="AV9" s="6"/>
      <c r="AW9" s="6"/>
      <c r="AX9" s="6">
        <f>('Vegetables 2013-14(Final)'!AW8-'3rd Vegetables 2013-14'!AR8)/'3rd Vegetables 2013-14'!AR8*100</f>
        <v>-3.419267299864309</v>
      </c>
      <c r="AY9" s="6">
        <f>('Vegetables 2013-14(Final)'!AX8-'3rd Vegetables 2013-14'!AS8)/'3rd Vegetables 2013-14'!AS8*100</f>
        <v>-4.7804599885953154</v>
      </c>
      <c r="AZ9" s="2">
        <f t="shared" si="0"/>
        <v>-3.419267299864309</v>
      </c>
      <c r="BA9" s="2">
        <f t="shared" si="1"/>
        <v>-4.7804599885953154</v>
      </c>
    </row>
    <row r="10" spans="1:53" ht="15.75" x14ac:dyDescent="0.25">
      <c r="A10" s="5" t="s">
        <v>16</v>
      </c>
      <c r="B10" s="6"/>
      <c r="C10" s="6"/>
      <c r="D10" s="6"/>
      <c r="E10" s="6"/>
      <c r="F10" s="6"/>
      <c r="G10" s="6"/>
      <c r="H10" s="6">
        <f>('Vegetables 2013-14(Final)'!H9-'3rd Vegetables 2013-14'!H9)/'3rd Vegetables 2013-14'!H9*100</f>
        <v>0</v>
      </c>
      <c r="I10" s="6">
        <f>('Vegetables 2013-14(Final)'!I9-'3rd Vegetables 2013-14'!I9)/'3rd Vegetables 2013-14'!I9*100</f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>
        <f>('Vegetables 2013-14(Final)'!AR9-'3rd Vegetables 2013-14'!AN9)/'3rd Vegetables 2013-14'!AN9*100</f>
        <v>0</v>
      </c>
      <c r="AS10" s="6">
        <f>('Vegetables 2013-14(Final)'!AS9-'3rd Vegetables 2013-14'!AO9)/'3rd Vegetables 2013-14'!AO9*100</f>
        <v>0</v>
      </c>
      <c r="AT10" s="6"/>
      <c r="AU10" s="6"/>
      <c r="AV10" s="6"/>
      <c r="AW10" s="6"/>
      <c r="AX10" s="6">
        <f>('Vegetables 2013-14(Final)'!AW9-'3rd Vegetables 2013-14'!AR9)/'3rd Vegetables 2013-14'!AR9*100</f>
        <v>0</v>
      </c>
      <c r="AY10" s="6">
        <f>('Vegetables 2013-14(Final)'!AX9-'3rd Vegetables 2013-14'!AS9)/'3rd Vegetables 2013-14'!AS9*100</f>
        <v>0</v>
      </c>
      <c r="AZ10" s="2">
        <f t="shared" si="0"/>
        <v>0</v>
      </c>
      <c r="BA10" s="2">
        <f t="shared" si="1"/>
        <v>0</v>
      </c>
    </row>
    <row r="11" spans="1:53" ht="15.75" x14ac:dyDescent="0.25">
      <c r="A11" s="5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2"/>
      <c r="BA11" s="2"/>
    </row>
    <row r="12" spans="1:53" ht="15.75" x14ac:dyDescent="0.25">
      <c r="A12" s="5" t="s">
        <v>18</v>
      </c>
      <c r="B12" s="6"/>
      <c r="C12" s="6"/>
      <c r="D12" s="6">
        <f>('Vegetables 2013-14(Final)'!D11-'3rd Vegetables 2013-14'!D11)/'3rd Vegetables 2013-14'!D11*100</f>
        <v>0</v>
      </c>
      <c r="E12" s="6">
        <f>('Vegetables 2013-14(Final)'!E11-'3rd Vegetables 2013-14'!E11)/'3rd Vegetables 2013-14'!E11*100</f>
        <v>0</v>
      </c>
      <c r="F12" s="6">
        <f>('Vegetables 2013-14(Final)'!F11-'3rd Vegetables 2013-14'!F11)/'3rd Vegetables 2013-14'!F11*100</f>
        <v>0</v>
      </c>
      <c r="G12" s="6">
        <f>('Vegetables 2013-14(Final)'!G11-'3rd Vegetables 2013-14'!G11)/'3rd Vegetables 2013-14'!G11*100</f>
        <v>0</v>
      </c>
      <c r="H12" s="6">
        <f>('Vegetables 2013-14(Final)'!H11-'3rd Vegetables 2013-14'!H11)/'3rd Vegetables 2013-14'!H11*100</f>
        <v>0</v>
      </c>
      <c r="I12" s="6">
        <f>('Vegetables 2013-14(Final)'!I11-'3rd Vegetables 2013-14'!I11)/'3rd Vegetables 2013-14'!I11*100</f>
        <v>0</v>
      </c>
      <c r="J12" s="6"/>
      <c r="K12" s="6"/>
      <c r="L12" s="6"/>
      <c r="M12" s="6"/>
      <c r="N12" s="6">
        <f>('Vegetables 2013-14(Final)'!N11-'3rd Vegetables 2013-14'!N11)/'3rd Vegetables 2013-14'!N11*100</f>
        <v>0</v>
      </c>
      <c r="O12" s="6">
        <f>('Vegetables 2013-14(Final)'!O11-'3rd Vegetables 2013-14'!O11)/'3rd Vegetables 2013-14'!O11*100</f>
        <v>0</v>
      </c>
      <c r="P12" s="6">
        <f>('Vegetables 2013-14(Final)'!P11-'3rd Vegetables 2013-14'!P11)/'3rd Vegetables 2013-14'!P11*100</f>
        <v>0</v>
      </c>
      <c r="Q12" s="6">
        <f>('Vegetables 2013-14(Final)'!Q11-'3rd Vegetables 2013-14'!Q11)/'3rd Vegetables 2013-14'!Q11*100</f>
        <v>0</v>
      </c>
      <c r="R12" s="6">
        <f>('Vegetables 2013-14(Final)'!R11-'3rd Vegetables 2013-14'!R11)/'3rd Vegetables 2013-14'!R11*100</f>
        <v>0</v>
      </c>
      <c r="S12" s="6">
        <f>('Vegetables 2013-14(Final)'!S11-'3rd Vegetables 2013-14'!S11)/'3rd Vegetables 2013-14'!S11*100</f>
        <v>0</v>
      </c>
      <c r="T12" s="6"/>
      <c r="U12" s="6"/>
      <c r="V12" s="6"/>
      <c r="W12" s="6"/>
      <c r="X12" s="6"/>
      <c r="Y12" s="6"/>
      <c r="Z12" s="6">
        <f>('Vegetables 2013-14(Final)'!Z11-'3rd Vegetables 2013-14'!V11)/'3rd Vegetables 2013-14'!V11*100</f>
        <v>0</v>
      </c>
      <c r="AA12" s="6">
        <f>('Vegetables 2013-14(Final)'!AA11-'3rd Vegetables 2013-14'!W11)/'3rd Vegetables 2013-14'!W11*100</f>
        <v>0</v>
      </c>
      <c r="AB12" s="6">
        <f>('Vegetables 2013-14(Final)'!AB11-'3rd Vegetables 2013-14'!X11)/'3rd Vegetables 2013-14'!X11*100</f>
        <v>0</v>
      </c>
      <c r="AC12" s="6">
        <f>('Vegetables 2013-14(Final)'!AC11-'3rd Vegetables 2013-14'!Y11)/'3rd Vegetables 2013-14'!Y11*100</f>
        <v>0</v>
      </c>
      <c r="AD12" s="6"/>
      <c r="AE12" s="6"/>
      <c r="AF12" s="6">
        <f>('Vegetables 2013-14(Final)'!AF11-'3rd Vegetables 2013-14'!AB11)/'3rd Vegetables 2013-14'!AB11*100</f>
        <v>0</v>
      </c>
      <c r="AG12" s="6">
        <f>('Vegetables 2013-14(Final)'!AG11-'3rd Vegetables 2013-14'!AC11)/'3rd Vegetables 2013-14'!AC11*100</f>
        <v>0</v>
      </c>
      <c r="AH12" s="6">
        <f>('Vegetables 2013-14(Final)'!AH11-'3rd Vegetables 2013-14'!AD11)/'3rd Vegetables 2013-14'!AD11*100</f>
        <v>0</v>
      </c>
      <c r="AI12" s="6">
        <f>('Vegetables 2013-14(Final)'!AI11-'3rd Vegetables 2013-14'!AE11)/'3rd Vegetables 2013-14'!AE11*100</f>
        <v>0</v>
      </c>
      <c r="AJ12" s="6">
        <f>('Vegetables 2013-14(Final)'!AJ11-'3rd Vegetables 2013-14'!AF11)/'3rd Vegetables 2013-14'!AF11*100</f>
        <v>0</v>
      </c>
      <c r="AK12" s="6">
        <f>('Vegetables 2013-14(Final)'!AK11-'3rd Vegetables 2013-14'!AG11)/'3rd Vegetables 2013-14'!AG11*100</f>
        <v>0</v>
      </c>
      <c r="AL12" s="6"/>
      <c r="AM12" s="6"/>
      <c r="AN12" s="6"/>
      <c r="AO12" s="6"/>
      <c r="AP12" s="6"/>
      <c r="AQ12" s="6"/>
      <c r="AR12" s="6">
        <f>('Vegetables 2013-14(Final)'!AR11-'3rd Vegetables 2013-14'!AN11)/'3rd Vegetables 2013-14'!AN11*100</f>
        <v>0</v>
      </c>
      <c r="AS12" s="6">
        <f>('Vegetables 2013-14(Final)'!AS11-'3rd Vegetables 2013-14'!AO11)/'3rd Vegetables 2013-14'!AO11*100</f>
        <v>0</v>
      </c>
      <c r="AT12" s="6"/>
      <c r="AU12" s="6"/>
      <c r="AV12" s="6"/>
      <c r="AW12" s="6"/>
      <c r="AX12" s="6">
        <f>('Vegetables 2013-14(Final)'!AW11-'3rd Vegetables 2013-14'!AR11)/'3rd Vegetables 2013-14'!AR11*100</f>
        <v>0</v>
      </c>
      <c r="AY12" s="6">
        <f>('Vegetables 2013-14(Final)'!AX11-'3rd Vegetables 2013-14'!AS11)/'3rd Vegetables 2013-14'!AS11*100</f>
        <v>0</v>
      </c>
      <c r="AZ12" s="2">
        <f t="shared" si="0"/>
        <v>0</v>
      </c>
      <c r="BA12" s="2">
        <f t="shared" si="1"/>
        <v>0</v>
      </c>
    </row>
    <row r="13" spans="1:53" ht="15.75" x14ac:dyDescent="0.25">
      <c r="A13" s="5" t="s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>
        <f>('Vegetables 2013-14(Final)'!AW12-'3rd Vegetables 2013-14'!AR12)/'3rd Vegetables 2013-14'!AR12*100</f>
        <v>0</v>
      </c>
      <c r="AY13" s="6">
        <f>('Vegetables 2013-14(Final)'!AX12-'3rd Vegetables 2013-14'!AS12)/'3rd Vegetables 2013-14'!AS12*100</f>
        <v>0</v>
      </c>
      <c r="AZ13" s="2">
        <f t="shared" si="0"/>
        <v>0</v>
      </c>
      <c r="BA13" s="2">
        <f t="shared" si="1"/>
        <v>0</v>
      </c>
    </row>
    <row r="14" spans="1:53" ht="15.75" x14ac:dyDescent="0.25">
      <c r="A14" s="5" t="s">
        <v>20</v>
      </c>
      <c r="B14" s="6"/>
      <c r="C14" s="6"/>
      <c r="D14" s="6"/>
      <c r="E14" s="6"/>
      <c r="F14" s="6"/>
      <c r="G14" s="6"/>
      <c r="H14" s="6">
        <f>('Vegetables 2013-14(Final)'!H13-'3rd Vegetables 2013-14'!H13)/'3rd Vegetables 2013-14'!H13*100</f>
        <v>-0.96416938110748507</v>
      </c>
      <c r="I14" s="6">
        <f>('Vegetables 2013-14(Final)'!I13-'3rd Vegetables 2013-14'!I13)/'3rd Vegetables 2013-14'!I13*100</f>
        <v>10.136833078557851</v>
      </c>
      <c r="J14" s="6">
        <f>('Vegetables 2013-14(Final)'!J13-'3rd Vegetables 2013-14'!J13)/'3rd Vegetables 2013-14'!J13*100</f>
        <v>-1.8434670116429506</v>
      </c>
      <c r="K14" s="6">
        <f>('Vegetables 2013-14(Final)'!K13-'3rd Vegetables 2013-14'!K13)/'3rd Vegetables 2013-14'!K13*100</f>
        <v>-0.32101035371422476</v>
      </c>
      <c r="L14" s="6"/>
      <c r="M14" s="6"/>
      <c r="N14" s="6"/>
      <c r="O14" s="6"/>
      <c r="P14" s="6">
        <f>('Vegetables 2013-14(Final)'!P13-'3rd Vegetables 2013-14'!P13)/'3rd Vegetables 2013-14'!P13*100</f>
        <v>-3.2145352900069937</v>
      </c>
      <c r="Q14" s="6">
        <f>('Vegetables 2013-14(Final)'!Q13-'3rd Vegetables 2013-14'!Q13)/'3rd Vegetables 2013-14'!Q13*100</f>
        <v>13.000676335763142</v>
      </c>
      <c r="R14" s="6"/>
      <c r="S14" s="6"/>
      <c r="T14" s="6"/>
      <c r="U14" s="6"/>
      <c r="V14" s="6"/>
      <c r="W14" s="6"/>
      <c r="X14" s="6"/>
      <c r="Y14" s="6"/>
      <c r="Z14" s="6">
        <f>('Vegetables 2013-14(Final)'!Z13-'3rd Vegetables 2013-14'!V13)/'3rd Vegetables 2013-14'!V13*100</f>
        <v>0.50258909533962581</v>
      </c>
      <c r="AA14" s="6">
        <f>('Vegetables 2013-14(Final)'!AA13-'3rd Vegetables 2013-14'!W13)/'3rd Vegetables 2013-14'!W13*100</f>
        <v>4.9368891100880541</v>
      </c>
      <c r="AB14" s="6">
        <f>('Vegetables 2013-14(Final)'!AB13-'3rd Vegetables 2013-14'!X13)/'3rd Vegetables 2013-14'!X13*100</f>
        <v>0.26170798898073272</v>
      </c>
      <c r="AC14" s="6">
        <f>('Vegetables 2013-14(Final)'!AC13-'3rd Vegetables 2013-14'!Y13)/'3rd Vegetables 2013-14'!Y13*100</f>
        <v>2.942664802686096</v>
      </c>
      <c r="AD14" s="6"/>
      <c r="AE14" s="6"/>
      <c r="AF14" s="6"/>
      <c r="AG14" s="6"/>
      <c r="AH14" s="6">
        <f>('Vegetables 2013-14(Final)'!AH13-'3rd Vegetables 2013-14'!AD13)/'3rd Vegetables 2013-14'!AD13*100</f>
        <v>5.434782608696502E-2</v>
      </c>
      <c r="AI14" s="6">
        <f>('Vegetables 2013-14(Final)'!AI13-'3rd Vegetables 2013-14'!AE13)/'3rd Vegetables 2013-14'!AE13*100</f>
        <v>3.5522469857508314</v>
      </c>
      <c r="AJ14" s="6"/>
      <c r="AK14" s="6"/>
      <c r="AL14" s="6"/>
      <c r="AM14" s="6"/>
      <c r="AN14" s="6"/>
      <c r="AO14" s="6"/>
      <c r="AP14" s="6"/>
      <c r="AQ14" s="6"/>
      <c r="AR14" s="6">
        <f>('Vegetables 2013-14(Final)'!AR13-'3rd Vegetables 2013-14'!AN13)/'3rd Vegetables 2013-14'!AN13*100</f>
        <v>1.2954545454545461</v>
      </c>
      <c r="AS14" s="6">
        <f>('Vegetables 2013-14(Final)'!AS13-'3rd Vegetables 2013-14'!AO13)/'3rd Vegetables 2013-14'!AO13*100</f>
        <v>8.8431080987620128</v>
      </c>
      <c r="AT14" s="6"/>
      <c r="AU14" s="6"/>
      <c r="AV14" s="6"/>
      <c r="AW14" s="6"/>
      <c r="AX14" s="6">
        <f>('Vegetables 2013-14(Final)'!AW13-'3rd Vegetables 2013-14'!AR13)/'3rd Vegetables 2013-14'!AR13*100</f>
        <v>5.3202621578454572</v>
      </c>
      <c r="AY14" s="6">
        <f>('Vegetables 2013-14(Final)'!AX13-'3rd Vegetables 2013-14'!AS13)/'3rd Vegetables 2013-14'!AS13*100</f>
        <v>-7.0680456741629314</v>
      </c>
      <c r="AZ14" s="2">
        <f t="shared" si="0"/>
        <v>1.4121899309498964</v>
      </c>
      <c r="BA14" s="2">
        <f t="shared" si="1"/>
        <v>36.023362383730827</v>
      </c>
    </row>
    <row r="15" spans="1:53" ht="15.75" x14ac:dyDescent="0.25">
      <c r="A15" s="5" t="s">
        <v>21</v>
      </c>
      <c r="B15" s="6"/>
      <c r="C15" s="6"/>
      <c r="D15" s="6"/>
      <c r="E15" s="6"/>
      <c r="F15" s="6"/>
      <c r="G15" s="6"/>
      <c r="H15" s="6">
        <f>('Vegetables 2013-14(Final)'!H14-'3rd Vegetables 2013-14'!H14)/'3rd Vegetables 2013-14'!H14*100</f>
        <v>0</v>
      </c>
      <c r="I15" s="6">
        <f>('Vegetables 2013-14(Final)'!I14-'3rd Vegetables 2013-14'!I14)/'3rd Vegetables 2013-14'!I14*100</f>
        <v>-2.148542409297332</v>
      </c>
      <c r="J15" s="6">
        <f>('Vegetables 2013-14(Final)'!J14-'3rd Vegetables 2013-14'!J14)/'3rd Vegetables 2013-14'!J14*100</f>
        <v>0</v>
      </c>
      <c r="K15" s="6">
        <f>('Vegetables 2013-14(Final)'!K14-'3rd Vegetables 2013-14'!K14)/'3rd Vegetables 2013-14'!K14*100</f>
        <v>0</v>
      </c>
      <c r="L15" s="6"/>
      <c r="M15" s="6"/>
      <c r="N15" s="6">
        <f>('Vegetables 2013-14(Final)'!N14-'3rd Vegetables 2013-14'!N14)/'3rd Vegetables 2013-14'!N14*100</f>
        <v>0</v>
      </c>
      <c r="O15" s="6">
        <f>('Vegetables 2013-14(Final)'!O14-'3rd Vegetables 2013-14'!O14)/'3rd Vegetables 2013-14'!O14*100</f>
        <v>0.9923747674121739</v>
      </c>
      <c r="P15" s="6">
        <f>('Vegetables 2013-14(Final)'!P14-'3rd Vegetables 2013-14'!P14)/'3rd Vegetables 2013-14'!P14*100</f>
        <v>0</v>
      </c>
      <c r="Q15" s="6">
        <f>('Vegetables 2013-14(Final)'!Q14-'3rd Vegetables 2013-14'!Q14)/'3rd Vegetables 2013-14'!Q14*100</f>
        <v>-0.75401986842353297</v>
      </c>
      <c r="R15" s="6"/>
      <c r="S15" s="6"/>
      <c r="T15" s="6"/>
      <c r="U15" s="6"/>
      <c r="V15" s="6"/>
      <c r="W15" s="6"/>
      <c r="X15" s="6"/>
      <c r="Y15" s="6"/>
      <c r="Z15" s="6">
        <f>('Vegetables 2013-14(Final)'!Z14-'3rd Vegetables 2013-14'!V14)/'3rd Vegetables 2013-14'!V14*100</f>
        <v>0</v>
      </c>
      <c r="AA15" s="6">
        <f>('Vegetables 2013-14(Final)'!AA14-'3rd Vegetables 2013-14'!W14)/'3rd Vegetables 2013-14'!W14*100</f>
        <v>14.084507042253518</v>
      </c>
      <c r="AB15" s="6">
        <f>('Vegetables 2013-14(Final)'!AB14-'3rd Vegetables 2013-14'!X14)/'3rd Vegetables 2013-14'!X14*100</f>
        <v>0</v>
      </c>
      <c r="AC15" s="6">
        <f>('Vegetables 2013-14(Final)'!AC14-'3rd Vegetables 2013-14'!Y14)/'3rd Vegetables 2013-14'!Y14*100</f>
        <v>0</v>
      </c>
      <c r="AD15" s="6"/>
      <c r="AE15" s="6"/>
      <c r="AF15" s="6">
        <f>('Vegetables 2013-14(Final)'!AF14-'3rd Vegetables 2013-14'!AB14)/'3rd Vegetables 2013-14'!AB14*100</f>
        <v>0</v>
      </c>
      <c r="AG15" s="6">
        <f>('Vegetables 2013-14(Final)'!AG14-'3rd Vegetables 2013-14'!AC14)/'3rd Vegetables 2013-14'!AC14*100</f>
        <v>0.92747171211278057</v>
      </c>
      <c r="AH15" s="6">
        <f>('Vegetables 2013-14(Final)'!AH14-'3rd Vegetables 2013-14'!AD14)/'3rd Vegetables 2013-14'!AD14*100</f>
        <v>0</v>
      </c>
      <c r="AI15" s="6">
        <f>('Vegetables 2013-14(Final)'!AI14-'3rd Vegetables 2013-14'!AE14)/'3rd Vegetables 2013-14'!AE14*100</f>
        <v>0</v>
      </c>
      <c r="AJ15" s="6">
        <f>('Vegetables 2013-14(Final)'!AJ14-'3rd Vegetables 2013-14'!AF14)/'3rd Vegetables 2013-14'!AF14*100</f>
        <v>0</v>
      </c>
      <c r="AK15" s="6">
        <f>('Vegetables 2013-14(Final)'!AK14-'3rd Vegetables 2013-14'!AG14)/'3rd Vegetables 2013-14'!AG14*100</f>
        <v>0</v>
      </c>
      <c r="AL15" s="6"/>
      <c r="AM15" s="6"/>
      <c r="AN15" s="6"/>
      <c r="AO15" s="6"/>
      <c r="AP15" s="6"/>
      <c r="AQ15" s="6"/>
      <c r="AR15" s="6">
        <f>('Vegetables 2013-14(Final)'!AR14-'3rd Vegetables 2013-14'!AN14)/'3rd Vegetables 2013-14'!AN14*100</f>
        <v>0</v>
      </c>
      <c r="AS15" s="6">
        <f>('Vegetables 2013-14(Final)'!AS14-'3rd Vegetables 2013-14'!AO14)/'3rd Vegetables 2013-14'!AO14*100</f>
        <v>-2.2897909592199204</v>
      </c>
      <c r="AT15" s="6"/>
      <c r="AU15" s="6"/>
      <c r="AV15" s="3"/>
      <c r="AW15" s="6"/>
      <c r="AX15" s="6">
        <f>('Vegetables 2013-14(Final)'!AW14-'3rd Vegetables 2013-14'!AR14)/'3rd Vegetables 2013-14'!AR14*100</f>
        <v>-12.624634530324613</v>
      </c>
      <c r="AY15" s="6">
        <f>('Vegetables 2013-14(Final)'!AX14-'3rd Vegetables 2013-14'!AS14)/'3rd Vegetables 2013-14'!AS14*100</f>
        <v>-7.2366416643695821</v>
      </c>
      <c r="AZ15" s="2">
        <f t="shared" si="0"/>
        <v>-12.624634530324613</v>
      </c>
      <c r="BA15" s="2">
        <f t="shared" si="1"/>
        <v>3.5753586204681049</v>
      </c>
    </row>
    <row r="16" spans="1:53" ht="15.75" x14ac:dyDescent="0.25">
      <c r="A16" s="5" t="s">
        <v>22</v>
      </c>
      <c r="B16" s="6">
        <f>('Vegetables 2013-14(Final)'!B15-'3rd Vegetables 2013-14'!B15)/'3rd Vegetables 2013-14'!B15*100</f>
        <v>9.1094295692665952</v>
      </c>
      <c r="C16" s="6">
        <f>('Vegetables 2013-14(Final)'!C15-'3rd Vegetables 2013-14'!C15)/'3rd Vegetables 2013-14'!C15*100</f>
        <v>13.437217153061479</v>
      </c>
      <c r="D16" s="6"/>
      <c r="E16" s="6"/>
      <c r="F16" s="6"/>
      <c r="G16" s="6"/>
      <c r="H16" s="6">
        <f>('Vegetables 2013-14(Final)'!H15-'3rd Vegetables 2013-14'!H15)/'3rd Vegetables 2013-14'!H15*100</f>
        <v>6.6176470588235139</v>
      </c>
      <c r="I16" s="6">
        <f>('Vegetables 2013-14(Final)'!I15-'3rd Vegetables 2013-14'!I15)/'3rd Vegetables 2013-14'!I15*100</f>
        <v>13.453524959605401</v>
      </c>
      <c r="J16" s="6">
        <f>('Vegetables 2013-14(Final)'!J15-'3rd Vegetables 2013-14'!J15)/'3rd Vegetables 2013-14'!J15*100</f>
        <v>3.94346934123547</v>
      </c>
      <c r="K16" s="6">
        <f>('Vegetables 2013-14(Final)'!K15-'3rd Vegetables 2013-14'!K15)/'3rd Vegetables 2013-14'!K15*100</f>
        <v>2.7660669067488124</v>
      </c>
      <c r="L16" s="6">
        <f>('Vegetables 2013-14(Final)'!L15-'3rd Vegetables 2013-14'!L15)/'3rd Vegetables 2013-14'!L15*100</f>
        <v>8.2528957528957427</v>
      </c>
      <c r="M16" s="6">
        <f>('Vegetables 2013-14(Final)'!M15-'3rd Vegetables 2013-14'!M15)/'3rd Vegetables 2013-14'!M15*100</f>
        <v>15.727176842845431</v>
      </c>
      <c r="N16" s="6">
        <f>('Vegetables 2013-14(Final)'!N15-'3rd Vegetables 2013-14'!N15)/'3rd Vegetables 2013-14'!N15*100</f>
        <v>20.224719101123593</v>
      </c>
      <c r="O16" s="6">
        <f>('Vegetables 2013-14(Final)'!O15-'3rd Vegetables 2013-14'!O15)/'3rd Vegetables 2013-14'!O15*100</f>
        <v>24.824886691388546</v>
      </c>
      <c r="P16" s="6">
        <f>('Vegetables 2013-14(Final)'!P15-'3rd Vegetables 2013-14'!P15)/'3rd Vegetables 2013-14'!P15*100</f>
        <v>4.0220638933578448</v>
      </c>
      <c r="Q16" s="6">
        <f>('Vegetables 2013-14(Final)'!Q15-'3rd Vegetables 2013-14'!Q15)/'3rd Vegetables 2013-14'!Q15*100</f>
        <v>-1.611444302428469</v>
      </c>
      <c r="R16" s="6"/>
      <c r="S16" s="6"/>
      <c r="T16" s="6"/>
      <c r="U16" s="6"/>
      <c r="V16" s="6"/>
      <c r="W16" s="6"/>
      <c r="X16" s="6"/>
      <c r="Y16" s="6"/>
      <c r="Z16" s="6">
        <f>('Vegetables 2013-14(Final)'!Z15-'3rd Vegetables 2013-14'!V15)/'3rd Vegetables 2013-14'!V15*100</f>
        <v>9.2783505154639183</v>
      </c>
      <c r="AA16" s="6">
        <f>('Vegetables 2013-14(Final)'!AA15-'3rd Vegetables 2013-14'!W15)/'3rd Vegetables 2013-14'!W15*100</f>
        <v>12.140785657790659</v>
      </c>
      <c r="AB16" s="6">
        <f>('Vegetables 2013-14(Final)'!AB15-'3rd Vegetables 2013-14'!X15)/'3rd Vegetables 2013-14'!X15*100</f>
        <v>3.0864197530864326</v>
      </c>
      <c r="AC16" s="6">
        <f>('Vegetables 2013-14(Final)'!AC15-'3rd Vegetables 2013-14'!Y15)/'3rd Vegetables 2013-14'!Y15*100</f>
        <v>11.036024592246331</v>
      </c>
      <c r="AD16" s="6"/>
      <c r="AE16" s="6"/>
      <c r="AF16" s="6">
        <f>('Vegetables 2013-14(Final)'!AF15-'3rd Vegetables 2013-14'!AB15)/'3rd Vegetables 2013-14'!AB15*100</f>
        <v>0.99712692242690837</v>
      </c>
      <c r="AG16" s="6">
        <f>('Vegetables 2013-14(Final)'!AG15-'3rd Vegetables 2013-14'!AC15)/'3rd Vegetables 2013-14'!AC15*100</f>
        <v>-3.2737277460380825</v>
      </c>
      <c r="AH16" s="6">
        <f>('Vegetables 2013-14(Final)'!AH15-'3rd Vegetables 2013-14'!AD15)/'3rd Vegetables 2013-14'!AD15*100</f>
        <v>33.049203049203065</v>
      </c>
      <c r="AI16" s="6">
        <f>('Vegetables 2013-14(Final)'!AI15-'3rd Vegetables 2013-14'!AE15)/'3rd Vegetables 2013-14'!AE15*100</f>
        <v>34.722483745555643</v>
      </c>
      <c r="AJ16" s="6">
        <f>('Vegetables 2013-14(Final)'!AJ15-'3rd Vegetables 2013-14'!AF15)/'3rd Vegetables 2013-14'!AF15*100</f>
        <v>12.810194500335333</v>
      </c>
      <c r="AK16" s="6">
        <f>('Vegetables 2013-14(Final)'!AK15-'3rd Vegetables 2013-14'!AG15)/'3rd Vegetables 2013-14'!AG15*100</f>
        <v>6.7154276837437967</v>
      </c>
      <c r="AL16" s="6"/>
      <c r="AM16" s="6"/>
      <c r="AN16" s="6"/>
      <c r="AO16" s="6"/>
      <c r="AP16" s="6"/>
      <c r="AQ16" s="6"/>
      <c r="AR16" s="6">
        <f>('Vegetables 2013-14(Final)'!AR15-'3rd Vegetables 2013-14'!AN15)/'3rd Vegetables 2013-14'!AN15*100</f>
        <v>4.4612286002014061</v>
      </c>
      <c r="AS16" s="6">
        <f>('Vegetables 2013-14(Final)'!AS15-'3rd Vegetables 2013-14'!AO15)/'3rd Vegetables 2013-14'!AO15*100</f>
        <v>4.1285057854675591</v>
      </c>
      <c r="AT16" s="6"/>
      <c r="AU16" s="6"/>
      <c r="AV16" s="6"/>
      <c r="AW16" s="6"/>
      <c r="AX16" s="6">
        <f>('Vegetables 2013-14(Final)'!AW15-'3rd Vegetables 2013-14'!AR15)/'3rd Vegetables 2013-14'!AR15*100</f>
        <v>-4.275011018069633</v>
      </c>
      <c r="AY16" s="6">
        <f>('Vegetables 2013-14(Final)'!AX15-'3rd Vegetables 2013-14'!AS15)/'3rd Vegetables 2013-14'!AS15*100</f>
        <v>5.1333734293470243</v>
      </c>
      <c r="AZ16" s="2">
        <f t="shared" si="0"/>
        <v>111.5777370393502</v>
      </c>
      <c r="BA16" s="2">
        <f t="shared" si="1"/>
        <v>139.20030139933414</v>
      </c>
    </row>
    <row r="17" spans="1:53" ht="15.75" x14ac:dyDescent="0.25">
      <c r="A17" s="5" t="s">
        <v>222</v>
      </c>
      <c r="B17" s="6">
        <f>('Vegetables 2013-14(Final)'!B16-'3rd Vegetables 2013-14'!B16)/'3rd Vegetables 2013-14'!B16*100</f>
        <v>0</v>
      </c>
      <c r="C17" s="6">
        <f>('Vegetables 2013-14(Final)'!C16-'3rd Vegetables 2013-14'!C16)/'3rd Vegetables 2013-14'!C16*100</f>
        <v>0</v>
      </c>
      <c r="D17" s="6">
        <f>('Vegetables 2013-14(Final)'!D16-'3rd Vegetables 2013-14'!D16)/'3rd Vegetables 2013-14'!D16*100</f>
        <v>0</v>
      </c>
      <c r="E17" s="6">
        <f>('Vegetables 2013-14(Final)'!E16-'3rd Vegetables 2013-14'!E16)/'3rd Vegetables 2013-14'!E16*100</f>
        <v>0</v>
      </c>
      <c r="F17" s="6">
        <f>('Vegetables 2013-14(Final)'!F16-'3rd Vegetables 2013-14'!F16)/'3rd Vegetables 2013-14'!F16*100</f>
        <v>0</v>
      </c>
      <c r="G17" s="6">
        <f>('Vegetables 2013-14(Final)'!G16-'3rd Vegetables 2013-14'!G16)/'3rd Vegetables 2013-14'!G16*100</f>
        <v>0</v>
      </c>
      <c r="H17" s="6">
        <f>('Vegetables 2013-14(Final)'!H16-'3rd Vegetables 2013-14'!H16)/'3rd Vegetables 2013-14'!H16*100</f>
        <v>0</v>
      </c>
      <c r="I17" s="6">
        <f>('Vegetables 2013-14(Final)'!I16-'3rd Vegetables 2013-14'!I16)/'3rd Vegetables 2013-14'!I16*100</f>
        <v>0</v>
      </c>
      <c r="J17" s="6">
        <f>('Vegetables 2013-14(Final)'!J16-'3rd Vegetables 2013-14'!J16)/'3rd Vegetables 2013-14'!J16*100</f>
        <v>0</v>
      </c>
      <c r="K17" s="6">
        <f>('Vegetables 2013-14(Final)'!K16-'3rd Vegetables 2013-14'!K16)/'3rd Vegetables 2013-14'!K16*100</f>
        <v>0</v>
      </c>
      <c r="L17" s="6">
        <f>('Vegetables 2013-14(Final)'!L16-'3rd Vegetables 2013-14'!L16)/'3rd Vegetables 2013-14'!L16*100</f>
        <v>0</v>
      </c>
      <c r="M17" s="6">
        <f>('Vegetables 2013-14(Final)'!M16-'3rd Vegetables 2013-14'!M16)/'3rd Vegetables 2013-14'!M16*100</f>
        <v>0</v>
      </c>
      <c r="N17" s="6">
        <f>('Vegetables 2013-14(Final)'!N16-'3rd Vegetables 2013-14'!N16)/'3rd Vegetables 2013-14'!N16*100</f>
        <v>0</v>
      </c>
      <c r="O17" s="6">
        <f>('Vegetables 2013-14(Final)'!O16-'3rd Vegetables 2013-14'!O16)/'3rd Vegetables 2013-14'!O16*100</f>
        <v>0</v>
      </c>
      <c r="P17" s="6">
        <f>('Vegetables 2013-14(Final)'!P16-'3rd Vegetables 2013-14'!P16)/'3rd Vegetables 2013-14'!P16*100</f>
        <v>0</v>
      </c>
      <c r="Q17" s="6">
        <f>('Vegetables 2013-14(Final)'!Q16-'3rd Vegetables 2013-14'!Q16)/'3rd Vegetables 2013-14'!Q16*100</f>
        <v>0</v>
      </c>
      <c r="R17" s="6">
        <f>('Vegetables 2013-14(Final)'!R16-'3rd Vegetables 2013-14'!R16)/'3rd Vegetables 2013-14'!R16*100</f>
        <v>0</v>
      </c>
      <c r="S17" s="6">
        <f>('Vegetables 2013-14(Final)'!S16-'3rd Vegetables 2013-14'!S16)/'3rd Vegetables 2013-14'!S16*100</f>
        <v>0</v>
      </c>
      <c r="T17" s="6"/>
      <c r="U17" s="6"/>
      <c r="V17" s="6"/>
      <c r="W17" s="6"/>
      <c r="X17" s="6">
        <f>('Vegetables 2013-14(Final)'!X16-'3rd Vegetables 2013-14'!T16)/'3rd Vegetables 2013-14'!T16*100</f>
        <v>0</v>
      </c>
      <c r="Y17" s="6">
        <f>('Vegetables 2013-14(Final)'!Y16-'3rd Vegetables 2013-14'!U16)/'3rd Vegetables 2013-14'!U16*100</f>
        <v>0</v>
      </c>
      <c r="Z17" s="6">
        <f>('Vegetables 2013-14(Final)'!Z16-'3rd Vegetables 2013-14'!V16)/'3rd Vegetables 2013-14'!V16*100</f>
        <v>0</v>
      </c>
      <c r="AA17" s="6">
        <f>('Vegetables 2013-14(Final)'!AA16-'3rd Vegetables 2013-14'!W16)/'3rd Vegetables 2013-14'!W16*100</f>
        <v>0</v>
      </c>
      <c r="AB17" s="6">
        <f>('Vegetables 2013-14(Final)'!AB16-'3rd Vegetables 2013-14'!X16)/'3rd Vegetables 2013-14'!X16*100</f>
        <v>0</v>
      </c>
      <c r="AC17" s="6">
        <f>('Vegetables 2013-14(Final)'!AC16-'3rd Vegetables 2013-14'!Y16)/'3rd Vegetables 2013-14'!Y16*100</f>
        <v>0</v>
      </c>
      <c r="AD17" s="6"/>
      <c r="AE17" s="6"/>
      <c r="AF17" s="6">
        <f>('Vegetables 2013-14(Final)'!AF16-'3rd Vegetables 2013-14'!AB16)/'3rd Vegetables 2013-14'!AB16*100</f>
        <v>0</v>
      </c>
      <c r="AG17" s="6">
        <f>('Vegetables 2013-14(Final)'!AG16-'3rd Vegetables 2013-14'!AC16)/'3rd Vegetables 2013-14'!AC16*100</f>
        <v>0</v>
      </c>
      <c r="AH17" s="6">
        <f>('Vegetables 2013-14(Final)'!AH16-'3rd Vegetables 2013-14'!AD16)/'3rd Vegetables 2013-14'!AD16*100</f>
        <v>0</v>
      </c>
      <c r="AI17" s="6">
        <f>('Vegetables 2013-14(Final)'!AI16-'3rd Vegetables 2013-14'!AE16)/'3rd Vegetables 2013-14'!AE16*100</f>
        <v>0</v>
      </c>
      <c r="AJ17" s="6">
        <f>('Vegetables 2013-14(Final)'!AJ16-'3rd Vegetables 2013-14'!AF16)/'3rd Vegetables 2013-14'!AF16*100</f>
        <v>0</v>
      </c>
      <c r="AK17" s="6">
        <f>('Vegetables 2013-14(Final)'!AK16-'3rd Vegetables 2013-14'!AG16)/'3rd Vegetables 2013-14'!AG16*100</f>
        <v>0</v>
      </c>
      <c r="AL17" s="6">
        <f>('Vegetables 2013-14(Final)'!AL16-'3rd Vegetables 2013-14'!AH16)/'3rd Vegetables 2013-14'!AH16*100</f>
        <v>0</v>
      </c>
      <c r="AM17" s="6">
        <f>('Vegetables 2013-14(Final)'!AM16-'3rd Vegetables 2013-14'!AI16)/'3rd Vegetables 2013-14'!AI16*100</f>
        <v>0</v>
      </c>
      <c r="AN17" s="6"/>
      <c r="AO17" s="6"/>
      <c r="AP17" s="6"/>
      <c r="AQ17" s="6"/>
      <c r="AR17" s="6">
        <f>('Vegetables 2013-14(Final)'!AR16-'3rd Vegetables 2013-14'!AN16)/'3rd Vegetables 2013-14'!AN16*100</f>
        <v>0</v>
      </c>
      <c r="AS17" s="6">
        <f>('Vegetables 2013-14(Final)'!AS16-'3rd Vegetables 2013-14'!AO16)/'3rd Vegetables 2013-14'!AO16*100</f>
        <v>0</v>
      </c>
      <c r="AT17" s="6">
        <f>('Vegetables 2013-14(Final)'!AT16-'3rd Vegetables 2013-14'!AP16)/'3rd Vegetables 2013-14'!AP16*100</f>
        <v>0</v>
      </c>
      <c r="AU17" s="6">
        <f>('Vegetables 2013-14(Final)'!AU16-'3rd Vegetables 2013-14'!AQ16)/'3rd Vegetables 2013-14'!AQ16*100</f>
        <v>0</v>
      </c>
      <c r="AV17" s="6"/>
      <c r="AW17" s="6"/>
      <c r="AX17" s="6">
        <f>('Vegetables 2013-14(Final)'!AW16-'3rd Vegetables 2013-14'!AR16)/'3rd Vegetables 2013-14'!AR16*100</f>
        <v>0</v>
      </c>
      <c r="AY17" s="6">
        <f>('Vegetables 2013-14(Final)'!AX16-'3rd Vegetables 2013-14'!AS16)/'3rd Vegetables 2013-14'!AS16*100</f>
        <v>0</v>
      </c>
      <c r="AZ17" s="2">
        <f t="shared" si="0"/>
        <v>0</v>
      </c>
      <c r="BA17" s="2">
        <f t="shared" si="1"/>
        <v>0</v>
      </c>
    </row>
    <row r="18" spans="1:53" ht="15.75" x14ac:dyDescent="0.25">
      <c r="A18" s="5" t="s">
        <v>24</v>
      </c>
      <c r="B18" s="6">
        <f>('Vegetables 2013-14(Final)'!B17-'3rd Vegetables 2013-14'!B17)/'3rd Vegetables 2013-14'!B17*100</f>
        <v>0</v>
      </c>
      <c r="C18" s="6">
        <f>('Vegetables 2013-14(Final)'!C17-'3rd Vegetables 2013-14'!C17)/'3rd Vegetables 2013-14'!C17*100</f>
        <v>0</v>
      </c>
      <c r="D18" s="6">
        <f>('Vegetables 2013-14(Final)'!D17-'3rd Vegetables 2013-14'!D17)/'3rd Vegetables 2013-14'!D17*100</f>
        <v>0</v>
      </c>
      <c r="E18" s="6">
        <f>('Vegetables 2013-14(Final)'!E17-'3rd Vegetables 2013-14'!E17)/'3rd Vegetables 2013-14'!E17*100</f>
        <v>0</v>
      </c>
      <c r="F18" s="6">
        <f>('Vegetables 2013-14(Final)'!F17-'3rd Vegetables 2013-14'!F17)/'3rd Vegetables 2013-14'!F17*100</f>
        <v>0</v>
      </c>
      <c r="G18" s="6">
        <f>('Vegetables 2013-14(Final)'!G17-'3rd Vegetables 2013-14'!G17)/'3rd Vegetables 2013-14'!G17*100</f>
        <v>0</v>
      </c>
      <c r="H18" s="6">
        <f>('Vegetables 2013-14(Final)'!H17-'3rd Vegetables 2013-14'!H17)/'3rd Vegetables 2013-14'!H17*100</f>
        <v>0</v>
      </c>
      <c r="I18" s="6">
        <f>('Vegetables 2013-14(Final)'!I17-'3rd Vegetables 2013-14'!I17)/'3rd Vegetables 2013-14'!I17*100</f>
        <v>0</v>
      </c>
      <c r="J18" s="6">
        <f>('Vegetables 2013-14(Final)'!J17-'3rd Vegetables 2013-14'!J17)/'3rd Vegetables 2013-14'!J17*100</f>
        <v>0</v>
      </c>
      <c r="K18" s="6">
        <f>('Vegetables 2013-14(Final)'!K17-'3rd Vegetables 2013-14'!K17)/'3rd Vegetables 2013-14'!K17*100</f>
        <v>0</v>
      </c>
      <c r="L18" s="6">
        <f>('Vegetables 2013-14(Final)'!L17-'3rd Vegetables 2013-14'!L17)/'3rd Vegetables 2013-14'!L17*100</f>
        <v>0</v>
      </c>
      <c r="M18" s="6">
        <f>('Vegetables 2013-14(Final)'!M17-'3rd Vegetables 2013-14'!M17)/'3rd Vegetables 2013-14'!M17*100</f>
        <v>0</v>
      </c>
      <c r="N18" s="6">
        <f>('Vegetables 2013-14(Final)'!N17-'3rd Vegetables 2013-14'!N17)/'3rd Vegetables 2013-14'!N17*100</f>
        <v>0</v>
      </c>
      <c r="O18" s="6">
        <f>('Vegetables 2013-14(Final)'!O17-'3rd Vegetables 2013-14'!O17)/'3rd Vegetables 2013-14'!O17*100</f>
        <v>0</v>
      </c>
      <c r="P18" s="6">
        <f>('Vegetables 2013-14(Final)'!P17-'3rd Vegetables 2013-14'!P17)/'3rd Vegetables 2013-14'!P17*100</f>
        <v>0</v>
      </c>
      <c r="Q18" s="6">
        <f>('Vegetables 2013-14(Final)'!Q17-'3rd Vegetables 2013-14'!Q17)/'3rd Vegetables 2013-14'!Q17*100</f>
        <v>0</v>
      </c>
      <c r="R18" s="6">
        <f>('Vegetables 2013-14(Final)'!R17-'3rd Vegetables 2013-14'!R17)/'3rd Vegetables 2013-14'!R17*100</f>
        <v>0</v>
      </c>
      <c r="S18" s="6">
        <f>('Vegetables 2013-14(Final)'!S17-'3rd Vegetables 2013-14'!S17)/'3rd Vegetables 2013-14'!S17*100</f>
        <v>0</v>
      </c>
      <c r="T18" s="6"/>
      <c r="U18" s="6"/>
      <c r="V18" s="6"/>
      <c r="W18" s="6"/>
      <c r="X18" s="6"/>
      <c r="Y18" s="6"/>
      <c r="Z18" s="6">
        <f>('Vegetables 2013-14(Final)'!Z17-'3rd Vegetables 2013-14'!V17)/'3rd Vegetables 2013-14'!V17*100</f>
        <v>0</v>
      </c>
      <c r="AA18" s="6">
        <f>('Vegetables 2013-14(Final)'!AA17-'3rd Vegetables 2013-14'!W17)/'3rd Vegetables 2013-14'!W17*100</f>
        <v>0</v>
      </c>
      <c r="AB18" s="6">
        <f>('Vegetables 2013-14(Final)'!AB17-'3rd Vegetables 2013-14'!X17)/'3rd Vegetables 2013-14'!X17*100</f>
        <v>0</v>
      </c>
      <c r="AC18" s="6">
        <f>('Vegetables 2013-14(Final)'!AC17-'3rd Vegetables 2013-14'!Y17)/'3rd Vegetables 2013-14'!Y17*100</f>
        <v>0</v>
      </c>
      <c r="AD18" s="6"/>
      <c r="AE18" s="6"/>
      <c r="AF18" s="6">
        <f>('Vegetables 2013-14(Final)'!AF17-'3rd Vegetables 2013-14'!AB17)/'3rd Vegetables 2013-14'!AB17*100</f>
        <v>0</v>
      </c>
      <c r="AG18" s="6">
        <f>('Vegetables 2013-14(Final)'!AG17-'3rd Vegetables 2013-14'!AC17)/'3rd Vegetables 2013-14'!AC17*100</f>
        <v>0</v>
      </c>
      <c r="AH18" s="6">
        <f>('Vegetables 2013-14(Final)'!AH17-'3rd Vegetables 2013-14'!AD17)/'3rd Vegetables 2013-14'!AD17*100</f>
        <v>0</v>
      </c>
      <c r="AI18" s="6">
        <f>('Vegetables 2013-14(Final)'!AI17-'3rd Vegetables 2013-14'!AE17)/'3rd Vegetables 2013-14'!AE17*100</f>
        <v>0</v>
      </c>
      <c r="AJ18" s="6">
        <f>('Vegetables 2013-14(Final)'!AJ17-'3rd Vegetables 2013-14'!AF17)/'3rd Vegetables 2013-14'!AF17*100</f>
        <v>0</v>
      </c>
      <c r="AK18" s="6">
        <f>('Vegetables 2013-14(Final)'!AK17-'3rd Vegetables 2013-14'!AG17)/'3rd Vegetables 2013-14'!AG17*100</f>
        <v>0</v>
      </c>
      <c r="AL18" s="6">
        <f>('Vegetables 2013-14(Final)'!AL17-'3rd Vegetables 2013-14'!AH17)/'3rd Vegetables 2013-14'!AH17*100</f>
        <v>0</v>
      </c>
      <c r="AM18" s="6">
        <f>('Vegetables 2013-14(Final)'!AM17-'3rd Vegetables 2013-14'!AI17)/'3rd Vegetables 2013-14'!AI17*100</f>
        <v>0</v>
      </c>
      <c r="AN18" s="6"/>
      <c r="AO18" s="6"/>
      <c r="AP18" s="6"/>
      <c r="AQ18" s="6"/>
      <c r="AR18" s="6">
        <f>('Vegetables 2013-14(Final)'!AR17-'3rd Vegetables 2013-14'!AN17)/'3rd Vegetables 2013-14'!AN17*100</f>
        <v>0</v>
      </c>
      <c r="AS18" s="6">
        <f>('Vegetables 2013-14(Final)'!AS17-'3rd Vegetables 2013-14'!AO17)/'3rd Vegetables 2013-14'!AO17*100</f>
        <v>0</v>
      </c>
      <c r="AT18" s="6"/>
      <c r="AU18" s="6"/>
      <c r="AV18" s="6"/>
      <c r="AW18" s="6"/>
      <c r="AX18" s="6">
        <f>('Vegetables 2013-14(Final)'!AW17-'3rd Vegetables 2013-14'!AR17)/'3rd Vegetables 2013-14'!AR17*100</f>
        <v>-38.24316505135252</v>
      </c>
      <c r="AY18" s="6">
        <f>('Vegetables 2013-14(Final)'!AX17-'3rd Vegetables 2013-14'!AS17)/'3rd Vegetables 2013-14'!AS17*100</f>
        <v>-35.578171963722241</v>
      </c>
      <c r="AZ18" s="2">
        <f t="shared" si="0"/>
        <v>-38.24316505135252</v>
      </c>
      <c r="BA18" s="2">
        <f t="shared" si="1"/>
        <v>-35.578171963722241</v>
      </c>
    </row>
    <row r="19" spans="1:53" ht="15.75" x14ac:dyDescent="0.25">
      <c r="A19" s="5" t="s">
        <v>25</v>
      </c>
      <c r="B19" s="6">
        <f>('Vegetables 2013-14(Final)'!B18-'3rd Vegetables 2013-14'!B18)/'3rd Vegetables 2013-14'!B18*100</f>
        <v>-0.31496062992125318</v>
      </c>
      <c r="C19" s="6">
        <f>('Vegetables 2013-14(Final)'!C18-'3rd Vegetables 2013-14'!C18)/'3rd Vegetables 2013-14'!C18*100</f>
        <v>1.5128593040854942E-2</v>
      </c>
      <c r="D19" s="6">
        <f>('Vegetables 2013-14(Final)'!D18-'3rd Vegetables 2013-14'!D18)/'3rd Vegetables 2013-14'!D18*100</f>
        <v>0.96774193548386456</v>
      </c>
      <c r="E19" s="6">
        <f>('Vegetables 2013-14(Final)'!E18-'3rd Vegetables 2013-14'!E18)/'3rd Vegetables 2013-14'!E18*100</f>
        <v>0.11730205278592123</v>
      </c>
      <c r="F19" s="6">
        <f>('Vegetables 2013-14(Final)'!F18-'3rd Vegetables 2013-14'!F18)/'3rd Vegetables 2013-14'!F18*100</f>
        <v>-3.3333333333333366</v>
      </c>
      <c r="G19" s="6">
        <f>('Vegetables 2013-14(Final)'!G18-'3rd Vegetables 2013-14'!G18)/'3rd Vegetables 2013-14'!G18*100</f>
        <v>-0.52631578947368474</v>
      </c>
      <c r="H19" s="6">
        <f>('Vegetables 2013-14(Final)'!H18-'3rd Vegetables 2013-14'!H18)/'3rd Vegetables 2013-14'!H18*100</f>
        <v>0.18987341772151492</v>
      </c>
      <c r="I19" s="6">
        <f>('Vegetables 2013-14(Final)'!I18-'3rd Vegetables 2013-14'!I18)/'3rd Vegetables 2013-14'!I18*100</f>
        <v>2.4844720496871816E-3</v>
      </c>
      <c r="J19" s="6">
        <f>('Vegetables 2013-14(Final)'!J18-'3rd Vegetables 2013-14'!J18)/'3rd Vegetables 2013-14'!J18*100</f>
        <v>0.29999999999999361</v>
      </c>
      <c r="K19" s="6">
        <f>('Vegetables 2013-14(Final)'!K18-'3rd Vegetables 2013-14'!K18)/'3rd Vegetables 2013-14'!K18*100</f>
        <v>9.3984962405929545E-3</v>
      </c>
      <c r="L19" s="6">
        <f>('Vegetables 2013-14(Final)'!L18-'3rd Vegetables 2013-14'!L18)/'3rd Vegetables 2013-14'!L18*100</f>
        <v>-0.31250000000000722</v>
      </c>
      <c r="M19" s="6">
        <f>('Vegetables 2013-14(Final)'!M18-'3rd Vegetables 2013-14'!M18)/'3rd Vegetables 2013-14'!M18*100</f>
        <v>-4.0733197556014511E-2</v>
      </c>
      <c r="N19" s="6">
        <f>('Vegetables 2013-14(Final)'!N18-'3rd Vegetables 2013-14'!N18)/'3rd Vegetables 2013-14'!N18*100</f>
        <v>0.62500000000000522</v>
      </c>
      <c r="O19" s="6">
        <f>('Vegetables 2013-14(Final)'!O18-'3rd Vegetables 2013-14'!O18)/'3rd Vegetables 2013-14'!O18*100</f>
        <v>1.1025358324135506E-2</v>
      </c>
      <c r="P19" s="6">
        <f>('Vegetables 2013-14(Final)'!P18-'3rd Vegetables 2013-14'!P18)/'3rd Vegetables 2013-14'!P18*100</f>
        <v>-0.61224489795918868</v>
      </c>
      <c r="Q19" s="6">
        <f>('Vegetables 2013-14(Final)'!Q18-'3rd Vegetables 2013-14'!Q18)/'3rd Vegetables 2013-14'!Q18*100</f>
        <v>-3.5335689045937736E-2</v>
      </c>
      <c r="R19" s="6">
        <f>('Vegetables 2013-14(Final)'!R18-'3rd Vegetables 2013-14'!R18)/'3rd Vegetables 2013-14'!R18*100</f>
        <v>0.29411764705883031</v>
      </c>
      <c r="S19" s="6">
        <f>('Vegetables 2013-14(Final)'!S18-'3rd Vegetables 2013-14'!S18)/'3rd Vegetables 2013-14'!S18*100</f>
        <v>-9.2936802973893184E-3</v>
      </c>
      <c r="T19" s="6"/>
      <c r="U19" s="6"/>
      <c r="V19" s="6"/>
      <c r="W19" s="6"/>
      <c r="X19" s="6">
        <f>('Vegetables 2013-14(Final)'!X18-'3rd Vegetables 2013-14'!T18)/'3rd Vegetables 2013-14'!T18*100</f>
        <v>4.9999999999999902</v>
      </c>
      <c r="Y19" s="6">
        <f>('Vegetables 2013-14(Final)'!Y18-'3rd Vegetables 2013-14'!U18)/'3rd Vegetables 2013-14'!U18*100</f>
        <v>0.23076923076922584</v>
      </c>
      <c r="Z19" s="6">
        <f>('Vegetables 2013-14(Final)'!Z18-'3rd Vegetables 2013-14'!V18)/'3rd Vegetables 2013-14'!V18*100</f>
        <v>-0.43010752688173032</v>
      </c>
      <c r="AA19" s="6">
        <f>('Vegetables 2013-14(Final)'!AA18-'3rd Vegetables 2013-14'!W18)/'3rd Vegetables 2013-14'!W18*100</f>
        <v>0</v>
      </c>
      <c r="AB19" s="6">
        <f>('Vegetables 2013-14(Final)'!AB18-'3rd Vegetables 2013-14'!X18)/'3rd Vegetables 2013-14'!X18*100</f>
        <v>-2.196193265007404E-2</v>
      </c>
      <c r="AC19" s="6">
        <f>('Vegetables 2013-14(Final)'!AC18-'3rd Vegetables 2013-14'!Y18)/'3rd Vegetables 2013-14'!Y18*100</f>
        <v>-1.9368584156480547E-3</v>
      </c>
      <c r="AD19" s="6"/>
      <c r="AE19" s="6"/>
      <c r="AF19" s="6">
        <f>('Vegetables 2013-14(Final)'!AF18-'3rd Vegetables 2013-14'!AB18)/'3rd Vegetables 2013-14'!AB18*100</f>
        <v>-2.8571428571428439</v>
      </c>
      <c r="AG19" s="6">
        <f>('Vegetables 2013-14(Final)'!AG18-'3rd Vegetables 2013-14'!AC18)/'3rd Vegetables 2013-14'!AC18*100</f>
        <v>0.15000000000000568</v>
      </c>
      <c r="AH19" s="6">
        <f>('Vegetables 2013-14(Final)'!AH18-'3rd Vegetables 2013-14'!AD18)/'3rd Vegetables 2013-14'!AD18*100</f>
        <v>2.457002457001968E-2</v>
      </c>
      <c r="AI19" s="6">
        <f>('Vegetables 2013-14(Final)'!AI18-'3rd Vegetables 2013-14'!AE18)/'3rd Vegetables 2013-14'!AE18*100</f>
        <v>0</v>
      </c>
      <c r="AJ19" s="6">
        <f>('Vegetables 2013-14(Final)'!AJ18-'3rd Vegetables 2013-14'!AF18)/'3rd Vegetables 2013-14'!AF18*100</f>
        <v>-0.70175438596491291</v>
      </c>
      <c r="AK19" s="6">
        <f>('Vegetables 2013-14(Final)'!AK18-'3rd Vegetables 2013-14'!AG18)/'3rd Vegetables 2013-14'!AG18*100</f>
        <v>6.3492063492062142E-2</v>
      </c>
      <c r="AL19" s="6">
        <f>('Vegetables 2013-14(Final)'!AL18-'3rd Vegetables 2013-14'!AH18)/'3rd Vegetables 2013-14'!AH18*100</f>
        <v>0.41666666666667629</v>
      </c>
      <c r="AM19" s="6">
        <f>('Vegetables 2013-14(Final)'!AM18-'3rd Vegetables 2013-14'!AI18)/'3rd Vegetables 2013-14'!AI18*100</f>
        <v>5.3763440860217095E-2</v>
      </c>
      <c r="AN19" s="6">
        <f>('Vegetables 2013-14(Final)'!AN18-'3rd Vegetables 2013-14'!AJ18)/'3rd Vegetables 2013-14'!AJ18*100</f>
        <v>0.43478260869566226</v>
      </c>
      <c r="AO19" s="6">
        <f>('Vegetables 2013-14(Final)'!AO18-'3rd Vegetables 2013-14'!AK18)/'3rd Vegetables 2013-14'!AK18*100</f>
        <v>-0.14619883040936918</v>
      </c>
      <c r="AP19" s="6">
        <f>('Vegetables 2013-14(Final)'!AP18-'3rd Vegetables 2013-14'!AL18)/'3rd Vegetables 2013-14'!AL18*100</f>
        <v>-3.3333333333333366</v>
      </c>
      <c r="AQ19" s="6">
        <f>('Vegetables 2013-14(Final)'!AQ18-'3rd Vegetables 2013-14'!AM18)/'3rd Vegetables 2013-14'!AM18*100</f>
        <v>-0.22222222222221749</v>
      </c>
      <c r="AR19" s="6">
        <f>('Vegetables 2013-14(Final)'!AR18-'3rd Vegetables 2013-14'!AN18)/'3rd Vegetables 2013-14'!AN18*100</f>
        <v>6.557377049180188E-2</v>
      </c>
      <c r="AS19" s="6">
        <f>('Vegetables 2013-14(Final)'!AS18-'3rd Vegetables 2013-14'!AO18)/'3rd Vegetables 2013-14'!AO18*100</f>
        <v>-9.6693096112849587E-4</v>
      </c>
      <c r="AT19" s="6">
        <f>('Vegetables 2013-14(Final)'!AT18-'3rd Vegetables 2013-14'!AP18)/'3rd Vegetables 2013-14'!AP18*100</f>
        <v>0</v>
      </c>
      <c r="AU19" s="6">
        <f>('Vegetables 2013-14(Final)'!AU18-'3rd Vegetables 2013-14'!AQ18)/'3rd Vegetables 2013-14'!AQ18*100</f>
        <v>-3.1515915537317697E-3</v>
      </c>
      <c r="AV19" s="6"/>
      <c r="AW19" s="6"/>
      <c r="AX19" s="6">
        <f>('Vegetables 2013-14(Final)'!AW18-'3rd Vegetables 2013-14'!AR18)/'3rd Vegetables 2013-14'!AR18*100</f>
        <v>-50.848837209302332</v>
      </c>
      <c r="AY19" s="6">
        <f>('Vegetables 2013-14(Final)'!AX18-'3rd Vegetables 2013-14'!AS18)/'3rd Vegetables 2013-14'!AS18*100</f>
        <v>-53.607913669064743</v>
      </c>
      <c r="AZ19" s="2">
        <f t="shared" si="0"/>
        <v>-54.447850035800656</v>
      </c>
      <c r="BA19" s="2">
        <f t="shared" si="1"/>
        <v>-53.94070475143716</v>
      </c>
    </row>
    <row r="20" spans="1:53" ht="15.75" x14ac:dyDescent="0.25">
      <c r="A20" s="5" t="s">
        <v>26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>
        <f>('Vegetables 2013-14(Final)'!AH19-'3rd Vegetables 2013-14'!AD19)/'3rd Vegetables 2013-14'!AD19*100</f>
        <v>77.238805970149244</v>
      </c>
      <c r="AI20" s="6">
        <f>('Vegetables 2013-14(Final)'!AI19-'3rd Vegetables 2013-14'!AE19)/'3rd Vegetables 2013-14'!AE19*100</f>
        <v>97.418412079883097</v>
      </c>
      <c r="AJ20" s="6"/>
      <c r="AK20" s="6"/>
      <c r="AL20" s="6"/>
      <c r="AM20" s="6"/>
      <c r="AN20" s="6">
        <f>('Vegetables 2013-14(Final)'!AN19-'3rd Vegetables 2013-14'!AJ19)/'3rd Vegetables 2013-14'!AJ19*100</f>
        <v>-0.80971659919028416</v>
      </c>
      <c r="AO20" s="6">
        <f>('Vegetables 2013-14(Final)'!AO19-'3rd Vegetables 2013-14'!AK19)/'3rd Vegetables 2013-14'!AK19*100</f>
        <v>5.4339985573455154</v>
      </c>
      <c r="AP20" s="6">
        <f>('Vegetables 2013-14(Final)'!AP19-'3rd Vegetables 2013-14'!AL19)/'3rd Vegetables 2013-14'!AL19*100</f>
        <v>2.1412968498505327</v>
      </c>
      <c r="AQ20" s="6">
        <f>('Vegetables 2013-14(Final)'!AQ19-'3rd Vegetables 2013-14'!AM19)/'3rd Vegetables 2013-14'!AM19*100</f>
        <v>4.997610346082908</v>
      </c>
      <c r="AR20" s="6"/>
      <c r="AS20" s="6"/>
      <c r="AT20" s="6"/>
      <c r="AU20" s="6"/>
      <c r="AV20" s="6"/>
      <c r="AW20" s="6"/>
      <c r="AX20" s="6">
        <f>('Vegetables 2013-14(Final)'!AW19-'3rd Vegetables 2013-14'!AR19)/'3rd Vegetables 2013-14'!AR19*100</f>
        <v>0</v>
      </c>
      <c r="AY20" s="6">
        <f>('Vegetables 2013-14(Final)'!AX19-'3rd Vegetables 2013-14'!AS19)/'3rd Vegetables 2013-14'!AS19*100</f>
        <v>0</v>
      </c>
      <c r="AZ20" s="2">
        <f t="shared" si="0"/>
        <v>78.570386220809496</v>
      </c>
      <c r="BA20" s="2">
        <f t="shared" si="1"/>
        <v>107.85002098331152</v>
      </c>
    </row>
    <row r="21" spans="1:53" ht="15.75" x14ac:dyDescent="0.25">
      <c r="A21" s="5" t="s">
        <v>56</v>
      </c>
      <c r="B21" s="6">
        <f>('Vegetables 2013-14(Final)'!B20-'3rd Vegetables 2013-14'!B20)/'3rd Vegetables 2013-14'!B20*100</f>
        <v>0</v>
      </c>
      <c r="C21" s="6">
        <f>('Vegetables 2013-14(Final)'!C20-'3rd Vegetables 2013-14'!C20)/'3rd Vegetables 2013-14'!C20*100</f>
        <v>0</v>
      </c>
      <c r="D21" s="6">
        <f>('Vegetables 2013-14(Final)'!D20-'3rd Vegetables 2013-14'!D20)/'3rd Vegetables 2013-14'!D20*100</f>
        <v>0</v>
      </c>
      <c r="E21" s="6">
        <f>('Vegetables 2013-14(Final)'!E20-'3rd Vegetables 2013-14'!E20)/'3rd Vegetables 2013-14'!E20*100</f>
        <v>0</v>
      </c>
      <c r="F21" s="6">
        <f>('Vegetables 2013-14(Final)'!F20-'3rd Vegetables 2013-14'!F20)/'3rd Vegetables 2013-14'!F20*100</f>
        <v>0</v>
      </c>
      <c r="G21" s="6">
        <f>('Vegetables 2013-14(Final)'!G20-'3rd Vegetables 2013-14'!G20)/'3rd Vegetables 2013-14'!G20*100</f>
        <v>0</v>
      </c>
      <c r="H21" s="6">
        <f>('Vegetables 2013-14(Final)'!H20-'3rd Vegetables 2013-14'!H20)/'3rd Vegetables 2013-14'!H20*100</f>
        <v>0</v>
      </c>
      <c r="I21" s="6">
        <f>('Vegetables 2013-14(Final)'!I20-'3rd Vegetables 2013-14'!I20)/'3rd Vegetables 2013-14'!I20*100</f>
        <v>0</v>
      </c>
      <c r="J21" s="6"/>
      <c r="K21" s="6"/>
      <c r="L21" s="6">
        <f>('Vegetables 2013-14(Final)'!L20-'3rd Vegetables 2013-14'!L20)/'3rd Vegetables 2013-14'!L20*100</f>
        <v>0</v>
      </c>
      <c r="M21" s="6">
        <f>('Vegetables 2013-14(Final)'!M20-'3rd Vegetables 2013-14'!M20)/'3rd Vegetables 2013-14'!M20*100</f>
        <v>0</v>
      </c>
      <c r="N21" s="6"/>
      <c r="O21" s="6"/>
      <c r="P21" s="6"/>
      <c r="Q21" s="6"/>
      <c r="R21" s="6">
        <f>('Vegetables 2013-14(Final)'!R20-'3rd Vegetables 2013-14'!R20)/'3rd Vegetables 2013-14'!R20*100</f>
        <v>0</v>
      </c>
      <c r="S21" s="6">
        <f>('Vegetables 2013-14(Final)'!S20-'3rd Vegetables 2013-14'!S20)/'3rd Vegetables 2013-14'!S20*100</f>
        <v>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>('Vegetables 2013-14(Final)'!AF20-'3rd Vegetables 2013-14'!AB20)/'3rd Vegetables 2013-14'!AB20*100</f>
        <v>0</v>
      </c>
      <c r="AG21" s="6">
        <f>('Vegetables 2013-14(Final)'!AG20-'3rd Vegetables 2013-14'!AC20)/'3rd Vegetables 2013-14'!AC20*100</f>
        <v>0</v>
      </c>
      <c r="AH21" s="6"/>
      <c r="AI21" s="6"/>
      <c r="AJ21" s="6"/>
      <c r="AK21" s="6"/>
      <c r="AL21" s="6">
        <f>('Vegetables 2013-14(Final)'!AL20-'3rd Vegetables 2013-14'!AH20)/'3rd Vegetables 2013-14'!AH20*100</f>
        <v>0</v>
      </c>
      <c r="AM21" s="6">
        <f>('Vegetables 2013-14(Final)'!AM20-'3rd Vegetables 2013-14'!AI20)/'3rd Vegetables 2013-14'!AI20*100</f>
        <v>0</v>
      </c>
      <c r="AN21" s="6">
        <f>('Vegetables 2013-14(Final)'!AN20-'3rd Vegetables 2013-14'!AJ20)/'3rd Vegetables 2013-14'!AJ20*100</f>
        <v>0</v>
      </c>
      <c r="AO21" s="6">
        <f>('Vegetables 2013-14(Final)'!AO20-'3rd Vegetables 2013-14'!AK20)/'3rd Vegetables 2013-14'!AK20*100</f>
        <v>0</v>
      </c>
      <c r="AP21" s="6">
        <f>('Vegetables 2013-14(Final)'!AP20-'3rd Vegetables 2013-14'!AL20)/'3rd Vegetables 2013-14'!AL20*100</f>
        <v>0</v>
      </c>
      <c r="AQ21" s="6">
        <f>('Vegetables 2013-14(Final)'!AQ20-'3rd Vegetables 2013-14'!AM20)/'3rd Vegetables 2013-14'!AM20*100</f>
        <v>0</v>
      </c>
      <c r="AR21" s="6">
        <f>('Vegetables 2013-14(Final)'!AR20-'3rd Vegetables 2013-14'!AN20)/'3rd Vegetables 2013-14'!AN20*100</f>
        <v>0</v>
      </c>
      <c r="AS21" s="6">
        <f>('Vegetables 2013-14(Final)'!AS20-'3rd Vegetables 2013-14'!AO20)/'3rd Vegetables 2013-14'!AO20*100</f>
        <v>0</v>
      </c>
      <c r="AT21" s="6">
        <f>('Vegetables 2013-14(Final)'!AT20-'3rd Vegetables 2013-14'!AP20)/'3rd Vegetables 2013-14'!AP20*100</f>
        <v>0</v>
      </c>
      <c r="AU21" s="6">
        <f>('Vegetables 2013-14(Final)'!AU20-'3rd Vegetables 2013-14'!AQ20)/'3rd Vegetables 2013-14'!AQ20*100</f>
        <v>0</v>
      </c>
      <c r="AV21" s="6"/>
      <c r="AW21" s="6"/>
      <c r="AX21" s="6">
        <f>('Vegetables 2013-14(Final)'!AW20-'3rd Vegetables 2013-14'!AR20)/'3rd Vegetables 2013-14'!AR20*100</f>
        <v>0</v>
      </c>
      <c r="AY21" s="6">
        <f>('Vegetables 2013-14(Final)'!AX20-'3rd Vegetables 2013-14'!AS20)/'3rd Vegetables 2013-14'!AS20*100</f>
        <v>0</v>
      </c>
      <c r="AZ21" s="2">
        <f t="shared" si="0"/>
        <v>0</v>
      </c>
      <c r="BA21" s="2">
        <f t="shared" si="1"/>
        <v>0</v>
      </c>
    </row>
    <row r="22" spans="1:53" ht="15.75" x14ac:dyDescent="0.25">
      <c r="A22" s="5" t="s">
        <v>27</v>
      </c>
      <c r="B22" s="6"/>
      <c r="C22" s="6"/>
      <c r="D22" s="6">
        <f>('Vegetables 2013-14(Final)'!D21-'3rd Vegetables 2013-14'!D21)/'3rd Vegetables 2013-14'!D21*100</f>
        <v>-1.1828720132496121E-2</v>
      </c>
      <c r="E22" s="6">
        <f>('Vegetables 2013-14(Final)'!E21-'3rd Vegetables 2013-14'!E21)/'3rd Vegetables 2013-14'!E21*100</f>
        <v>-6.0321715817677611E-2</v>
      </c>
      <c r="F22" s="6">
        <f>('Vegetables 2013-14(Final)'!F21-'3rd Vegetables 2013-14'!F21)/'3rd Vegetables 2013-14'!F21*100</f>
        <v>0</v>
      </c>
      <c r="G22" s="6">
        <f>('Vegetables 2013-14(Final)'!G21-'3rd Vegetables 2013-14'!G21)/'3rd Vegetables 2013-14'!G21*100</f>
        <v>-1.1594202898547241E-2</v>
      </c>
      <c r="H22" s="6">
        <f>('Vegetables 2013-14(Final)'!H21-'3rd Vegetables 2013-14'!H21)/'3rd Vegetables 2013-14'!H21*100</f>
        <v>0</v>
      </c>
      <c r="I22" s="6">
        <f>('Vegetables 2013-14(Final)'!I21-'3rd Vegetables 2013-14'!I21)/'3rd Vegetables 2013-14'!I21*100</f>
        <v>-2.4367385192126608E-2</v>
      </c>
      <c r="J22" s="6">
        <f>('Vegetables 2013-14(Final)'!J21-'3rd Vegetables 2013-14'!J21)/'3rd Vegetables 2013-14'!J21*100</f>
        <v>0</v>
      </c>
      <c r="K22" s="6">
        <f>('Vegetables 2013-14(Final)'!K21-'3rd Vegetables 2013-14'!K21)/'3rd Vegetables 2013-14'!K21*100</f>
        <v>8.3001902126926905E-3</v>
      </c>
      <c r="L22" s="6"/>
      <c r="M22" s="6"/>
      <c r="N22" s="6">
        <f>('Vegetables 2013-14(Final)'!N21-'3rd Vegetables 2013-14'!N21)/'3rd Vegetables 2013-14'!N21*100</f>
        <v>0</v>
      </c>
      <c r="O22" s="6">
        <f>('Vegetables 2013-14(Final)'!O21-'3rd Vegetables 2013-14'!O21)/'3rd Vegetables 2013-14'!O21*100</f>
        <v>9.4936708860763087E-3</v>
      </c>
      <c r="P22" s="6">
        <f>('Vegetables 2013-14(Final)'!P21-'3rd Vegetables 2013-14'!P21)/'3rd Vegetables 2013-14'!P21*100</f>
        <v>0</v>
      </c>
      <c r="Q22" s="6">
        <f>('Vegetables 2013-14(Final)'!Q21-'3rd Vegetables 2013-14'!Q21)/'3rd Vegetables 2013-14'!Q21*100</f>
        <v>2.9838022165489986E-3</v>
      </c>
      <c r="R22" s="6">
        <f>('Vegetables 2013-14(Final)'!R21-'3rd Vegetables 2013-14'!R21)/'3rd Vegetables 2013-14'!R21*100</f>
        <v>0</v>
      </c>
      <c r="S22" s="6">
        <f>('Vegetables 2013-14(Final)'!S21-'3rd Vegetables 2013-14'!S21)/'3rd Vegetables 2013-14'!S21*100</f>
        <v>-0.13190184049079529</v>
      </c>
      <c r="T22" s="6"/>
      <c r="U22" s="6"/>
      <c r="V22" s="6"/>
      <c r="W22" s="6"/>
      <c r="X22" s="6">
        <f>('Vegetables 2013-14(Final)'!X21-'3rd Vegetables 2013-14'!T21)/'3rd Vegetables 2013-14'!T21*100</f>
        <v>11.825552138663687</v>
      </c>
      <c r="Y22" s="6">
        <f>('Vegetables 2013-14(Final)'!Y21-'3rd Vegetables 2013-14'!U21)/'3rd Vegetables 2013-14'!U21*100</f>
        <v>21.184579439252339</v>
      </c>
      <c r="Z22" s="6">
        <f>('Vegetables 2013-14(Final)'!Z21-'3rd Vegetables 2013-14'!V21)/'3rd Vegetables 2013-14'!V21*100</f>
        <v>0</v>
      </c>
      <c r="AA22" s="6">
        <f>('Vegetables 2013-14(Final)'!AA21-'3rd Vegetables 2013-14'!W21)/'3rd Vegetables 2013-14'!W21*100</f>
        <v>4.5766590389048727E-3</v>
      </c>
      <c r="AB22" s="6">
        <f>('Vegetables 2013-14(Final)'!AB21-'3rd Vegetables 2013-14'!X21)/'3rd Vegetables 2013-14'!X21*100</f>
        <v>0</v>
      </c>
      <c r="AC22" s="6">
        <f>('Vegetables 2013-14(Final)'!AC21-'3rd Vegetables 2013-14'!Y21)/'3rd Vegetables 2013-14'!Y21*100</f>
        <v>1.493488108720362E-2</v>
      </c>
      <c r="AD22" s="6">
        <f>('Vegetables 2013-14(Final)'!AD21-'3rd Vegetables 2013-14'!Z21)/'3rd Vegetables 2013-14'!Z21*100</f>
        <v>0</v>
      </c>
      <c r="AE22" s="6">
        <f>('Vegetables 2013-14(Final)'!AE21-'3rd Vegetables 2013-14'!AA21)/'3rd Vegetables 2013-14'!AA21*100</f>
        <v>0</v>
      </c>
      <c r="AF22" s="6">
        <f>('Vegetables 2013-14(Final)'!AF21-'3rd Vegetables 2013-14'!AB21)/'3rd Vegetables 2013-14'!AB21*100</f>
        <v>0</v>
      </c>
      <c r="AG22" s="6">
        <f>('Vegetables 2013-14(Final)'!AG21-'3rd Vegetables 2013-14'!AC21)/'3rd Vegetables 2013-14'!AC21*100</f>
        <v>-15.472905525846702</v>
      </c>
      <c r="AH22" s="6">
        <f>('Vegetables 2013-14(Final)'!AH21-'3rd Vegetables 2013-14'!AD21)/'3rd Vegetables 2013-14'!AD21*100</f>
        <v>3.3647681492871367E-2</v>
      </c>
      <c r="AI22" s="6">
        <f>('Vegetables 2013-14(Final)'!AI21-'3rd Vegetables 2013-14'!AE21)/'3rd Vegetables 2013-14'!AE21*100</f>
        <v>1.7097329888024742E-2</v>
      </c>
      <c r="AJ22" s="6">
        <f>('Vegetables 2013-14(Final)'!AJ21-'3rd Vegetables 2013-14'!AF21)/'3rd Vegetables 2013-14'!AF21*100</f>
        <v>0</v>
      </c>
      <c r="AK22" s="6">
        <f>('Vegetables 2013-14(Final)'!AK21-'3rd Vegetables 2013-14'!AG21)/'3rd Vegetables 2013-14'!AG21*100</f>
        <v>-1.3071895424837096E-2</v>
      </c>
      <c r="AL22" s="6"/>
      <c r="AM22" s="6"/>
      <c r="AN22" s="6">
        <f>('Vegetables 2013-14(Final)'!AN21-'3rd Vegetables 2013-14'!AJ21)/'3rd Vegetables 2013-14'!AJ21*100</f>
        <v>-3.6258158085565262E-2</v>
      </c>
      <c r="AO22" s="6">
        <f>('Vegetables 2013-14(Final)'!AO21-'3rd Vegetables 2013-14'!AK21)/'3rd Vegetables 2013-14'!AK21*100</f>
        <v>-2.4242424242425162E-2</v>
      </c>
      <c r="AP22" s="6"/>
      <c r="AQ22" s="6"/>
      <c r="AR22" s="6">
        <f>('Vegetables 2013-14(Final)'!AR21-'3rd Vegetables 2013-14'!AN21)/'3rd Vegetables 2013-14'!AN21*100</f>
        <v>0</v>
      </c>
      <c r="AS22" s="6">
        <f>('Vegetables 2013-14(Final)'!AS21-'3rd Vegetables 2013-14'!AO21)/'3rd Vegetables 2013-14'!AO21*100</f>
        <v>3.4584215144792896E-3</v>
      </c>
      <c r="AT22" s="6">
        <f>('Vegetables 2013-14(Final)'!AT21-'3rd Vegetables 2013-14'!AP21)/'3rd Vegetables 2013-14'!AP21*100</f>
        <v>-5.2432090966519249</v>
      </c>
      <c r="AU22" s="6">
        <f>('Vegetables 2013-14(Final)'!AU21-'3rd Vegetables 2013-14'!AQ21)/'3rd Vegetables 2013-14'!AQ21*100</f>
        <v>1.5250544662304787E-2</v>
      </c>
      <c r="AV22" s="6"/>
      <c r="AW22" s="6"/>
      <c r="AX22" s="6">
        <f>('Vegetables 2013-14(Final)'!AW21-'3rd Vegetables 2013-14'!AR21)/'3rd Vegetables 2013-14'!AR21*100</f>
        <v>0</v>
      </c>
      <c r="AY22" s="6">
        <f>('Vegetables 2013-14(Final)'!AX21-'3rd Vegetables 2013-14'!AS21)/'3rd Vegetables 2013-14'!AS21*100</f>
        <v>8.0594891219891345</v>
      </c>
      <c r="AZ22" s="2">
        <f t="shared" si="0"/>
        <v>6.5679038452865717</v>
      </c>
      <c r="BA22" s="2">
        <f t="shared" si="1"/>
        <v>13.581759070834593</v>
      </c>
    </row>
    <row r="23" spans="1:53" ht="15.75" x14ac:dyDescent="0.25">
      <c r="A23" s="5" t="s">
        <v>28</v>
      </c>
      <c r="B23" s="6">
        <f>('Vegetables 2013-14(Final)'!B22-'3rd Vegetables 2013-14'!B22)/'3rd Vegetables 2013-14'!B22*100</f>
        <v>0</v>
      </c>
      <c r="C23" s="6">
        <f>('Vegetables 2013-14(Final)'!C22-'3rd Vegetables 2013-14'!C22)/'3rd Vegetables 2013-14'!C22*100</f>
        <v>-10</v>
      </c>
      <c r="D23" s="6"/>
      <c r="E23" s="6"/>
      <c r="F23" s="6"/>
      <c r="G23" s="6"/>
      <c r="H23" s="6">
        <f>('Vegetables 2013-14(Final)'!H22-'3rd Vegetables 2013-14'!H22)/'3rd Vegetables 2013-14'!H22*100</f>
        <v>0</v>
      </c>
      <c r="I23" s="6">
        <f>('Vegetables 2013-14(Final)'!I22-'3rd Vegetables 2013-14'!I22)/'3rd Vegetables 2013-14'!I22*100</f>
        <v>-13.750000000000002</v>
      </c>
      <c r="J23" s="6">
        <f>('Vegetables 2013-14(Final)'!J22-'3rd Vegetables 2013-14'!J22)/'3rd Vegetables 2013-14'!J22*100</f>
        <v>0</v>
      </c>
      <c r="K23" s="6">
        <f>('Vegetables 2013-14(Final)'!K22-'3rd Vegetables 2013-14'!K22)/'3rd Vegetables 2013-14'!K22*100</f>
        <v>-8.4428571428571466</v>
      </c>
      <c r="L23" s="6"/>
      <c r="M23" s="6"/>
      <c r="N23" s="6"/>
      <c r="O23" s="6"/>
      <c r="P23" s="6">
        <f>('Vegetables 2013-14(Final)'!P22-'3rd Vegetables 2013-14'!P22)/'3rd Vegetables 2013-14'!P22*100</f>
        <v>0</v>
      </c>
      <c r="Q23" s="6">
        <f>('Vegetables 2013-14(Final)'!Q22-'3rd Vegetables 2013-14'!Q22)/'3rd Vegetables 2013-14'!Q22*100</f>
        <v>-4.3247058823529398</v>
      </c>
      <c r="R23" s="6"/>
      <c r="S23" s="6"/>
      <c r="T23" s="6"/>
      <c r="U23" s="6"/>
      <c r="V23" s="6"/>
      <c r="W23" s="6"/>
      <c r="X23" s="6"/>
      <c r="Y23" s="6"/>
      <c r="Z23" s="6">
        <f>('Vegetables 2013-14(Final)'!Z22-'3rd Vegetables 2013-14'!V22)/'3rd Vegetables 2013-14'!V22*100</f>
        <v>0</v>
      </c>
      <c r="AA23" s="6">
        <f>('Vegetables 2013-14(Final)'!AA22-'3rd Vegetables 2013-14'!W22)/'3rd Vegetables 2013-14'!W22*100</f>
        <v>-3.4000000000000004</v>
      </c>
      <c r="AB23" s="6">
        <f>('Vegetables 2013-14(Final)'!AB22-'3rd Vegetables 2013-14'!X22)/'3rd Vegetables 2013-14'!X22*100</f>
        <v>0</v>
      </c>
      <c r="AC23" s="6">
        <f>('Vegetables 2013-14(Final)'!AC22-'3rd Vegetables 2013-14'!Y22)/'3rd Vegetables 2013-14'!Y22*100</f>
        <v>-3.3412887828162909E-2</v>
      </c>
      <c r="AD23" s="6"/>
      <c r="AE23" s="6"/>
      <c r="AF23" s="6">
        <f>('Vegetables 2013-14(Final)'!AF22-'3rd Vegetables 2013-14'!AB22)/'3rd Vegetables 2013-14'!AB22*100</f>
        <v>0</v>
      </c>
      <c r="AG23" s="6">
        <f>('Vegetables 2013-14(Final)'!AG22-'3rd Vegetables 2013-14'!AC22)/'3rd Vegetables 2013-14'!AC22*100</f>
        <v>0</v>
      </c>
      <c r="AH23" s="6">
        <f>('Vegetables 2013-14(Final)'!AH22-'3rd Vegetables 2013-14'!AD22)/'3rd Vegetables 2013-14'!AD22*100</f>
        <v>0</v>
      </c>
      <c r="AI23" s="6">
        <f>('Vegetables 2013-14(Final)'!AI22-'3rd Vegetables 2013-14'!AE22)/'3rd Vegetables 2013-14'!AE22*100</f>
        <v>-5.1282051282051277</v>
      </c>
      <c r="AJ23" s="6"/>
      <c r="AK23" s="6"/>
      <c r="AL23" s="6"/>
      <c r="AM23" s="6"/>
      <c r="AN23" s="6"/>
      <c r="AO23" s="6"/>
      <c r="AP23" s="6"/>
      <c r="AQ23" s="6"/>
      <c r="AR23" s="6">
        <f>('Vegetables 2013-14(Final)'!AR22-'3rd Vegetables 2013-14'!AN22)/'3rd Vegetables 2013-14'!AN22*100</f>
        <v>0</v>
      </c>
      <c r="AS23" s="6">
        <f>('Vegetables 2013-14(Final)'!AS22-'3rd Vegetables 2013-14'!AO22)/'3rd Vegetables 2013-14'!AO22*100</f>
        <v>0</v>
      </c>
      <c r="AT23" s="6"/>
      <c r="AU23" s="6"/>
      <c r="AV23" s="6"/>
      <c r="AW23" s="6"/>
      <c r="AX23" s="6">
        <f>('Vegetables 2013-14(Final)'!AW22-'3rd Vegetables 2013-14'!AR22)/'3rd Vegetables 2013-14'!AR22*100</f>
        <v>0</v>
      </c>
      <c r="AY23" s="6">
        <f>('Vegetables 2013-14(Final)'!AX22-'3rd Vegetables 2013-14'!AS22)/'3rd Vegetables 2013-14'!AS22*100</f>
        <v>0.10000000000000379</v>
      </c>
      <c r="AZ23" s="2">
        <f t="shared" si="0"/>
        <v>0</v>
      </c>
      <c r="BA23" s="2">
        <f t="shared" si="1"/>
        <v>-44.979181041243372</v>
      </c>
    </row>
    <row r="24" spans="1:53" ht="15.75" x14ac:dyDescent="0.25">
      <c r="A24" s="16" t="s">
        <v>29</v>
      </c>
      <c r="B24" s="6"/>
      <c r="C24" s="6"/>
      <c r="D24" s="6"/>
      <c r="E24" s="6"/>
      <c r="F24" s="6"/>
      <c r="G24" s="6"/>
      <c r="H24" s="6"/>
      <c r="I24" s="6"/>
      <c r="J24" s="6">
        <f>('Vegetables 2013-14(Final)'!J23-'3rd Vegetables 2013-14'!J23)/'3rd Vegetables 2013-14'!J23*100</f>
        <v>0</v>
      </c>
      <c r="K24" s="6">
        <f>('Vegetables 2013-14(Final)'!K23-'3rd Vegetables 2013-14'!K23)/'3rd Vegetables 2013-14'!K23*100</f>
        <v>0</v>
      </c>
      <c r="L24" s="6"/>
      <c r="M24" s="6"/>
      <c r="N24" s="6"/>
      <c r="O24" s="6"/>
      <c r="P24" s="6">
        <f>('Vegetables 2013-14(Final)'!P23-'3rd Vegetables 2013-14'!P23)/'3rd Vegetables 2013-14'!P23*100</f>
        <v>0</v>
      </c>
      <c r="Q24" s="6">
        <f>('Vegetables 2013-14(Final)'!Q23-'3rd Vegetables 2013-14'!Q23)/'3rd Vegetables 2013-14'!Q23*100</f>
        <v>0</v>
      </c>
      <c r="R24" s="6">
        <f>('Vegetables 2013-14(Final)'!R23-'3rd Vegetables 2013-14'!R23)/'3rd Vegetables 2013-14'!R23*100</f>
        <v>0</v>
      </c>
      <c r="S24" s="6">
        <f>('Vegetables 2013-14(Final)'!S23-'3rd Vegetables 2013-14'!S23)/'3rd Vegetables 2013-14'!S23*100</f>
        <v>0</v>
      </c>
      <c r="T24" s="6"/>
      <c r="U24" s="6"/>
      <c r="V24" s="6"/>
      <c r="W24" s="6"/>
      <c r="X24" s="6"/>
      <c r="Y24" s="6"/>
      <c r="Z24" s="6">
        <f>('Vegetables 2013-14(Final)'!Z23-'3rd Vegetables 2013-14'!V23)/'3rd Vegetables 2013-14'!V23*100</f>
        <v>0</v>
      </c>
      <c r="AA24" s="6">
        <f>('Vegetables 2013-14(Final)'!AA23-'3rd Vegetables 2013-14'!W23)/'3rd Vegetables 2013-14'!W23*100</f>
        <v>0</v>
      </c>
      <c r="AB24" s="6">
        <f>('Vegetables 2013-14(Final)'!AB23-'3rd Vegetables 2013-14'!X23)/'3rd Vegetables 2013-14'!X23*100</f>
        <v>0</v>
      </c>
      <c r="AC24" s="6">
        <f>('Vegetables 2013-14(Final)'!AC23-'3rd Vegetables 2013-14'!Y23)/'3rd Vegetables 2013-14'!Y23*100</f>
        <v>0</v>
      </c>
      <c r="AD24" s="6"/>
      <c r="AE24" s="6"/>
      <c r="AF24" s="6">
        <f>('Vegetables 2013-14(Final)'!AF23-'3rd Vegetables 2013-14'!AB23)/'3rd Vegetables 2013-14'!AB23*100</f>
        <v>0</v>
      </c>
      <c r="AG24" s="6">
        <f>('Vegetables 2013-14(Final)'!AG23-'3rd Vegetables 2013-14'!AC23)/'3rd Vegetables 2013-14'!AC23*100</f>
        <v>0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>
        <f>('Vegetables 2013-14(Final)'!AR23-'3rd Vegetables 2013-14'!AN23)/'3rd Vegetables 2013-14'!AN23*100</f>
        <v>0</v>
      </c>
      <c r="AS24" s="6">
        <f>('Vegetables 2013-14(Final)'!AS23-'3rd Vegetables 2013-14'!AO23)/'3rd Vegetables 2013-14'!AO23*100</f>
        <v>0</v>
      </c>
      <c r="AT24" s="6">
        <f>('Vegetables 2013-14(Final)'!AT23-'3rd Vegetables 2013-14'!AP23)/'3rd Vegetables 2013-14'!AP23*100</f>
        <v>0</v>
      </c>
      <c r="AU24" s="6">
        <f>('Vegetables 2013-14(Final)'!AU23-'3rd Vegetables 2013-14'!AQ23)/'3rd Vegetables 2013-14'!AQ23*100</f>
        <v>0</v>
      </c>
      <c r="AV24" s="6"/>
      <c r="AW24" s="6"/>
      <c r="AX24" s="6">
        <f>('Vegetables 2013-14(Final)'!AW23-'3rd Vegetables 2013-14'!AR23)/'3rd Vegetables 2013-14'!AR23*100</f>
        <v>-2.5974025974025996</v>
      </c>
      <c r="AY24" s="6">
        <f>('Vegetables 2013-14(Final)'!AX23-'3rd Vegetables 2013-14'!AS23)/'3rd Vegetables 2013-14'!AS23*100</f>
        <v>-1.8058690744920953</v>
      </c>
      <c r="AZ24" s="2">
        <f t="shared" si="0"/>
        <v>-2.5974025974025996</v>
      </c>
      <c r="BA24" s="2">
        <f t="shared" si="1"/>
        <v>-1.8058690744920953</v>
      </c>
    </row>
    <row r="25" spans="1:53" ht="15.75" x14ac:dyDescent="0.25">
      <c r="A25" s="5" t="s">
        <v>30</v>
      </c>
      <c r="B25" s="6">
        <f>('Vegetables 2013-14(Final)'!B24-'3rd Vegetables 2013-14'!B24)/'3rd Vegetables 2013-14'!B24*100</f>
        <v>-1.2087912087912098</v>
      </c>
      <c r="C25" s="6">
        <f>('Vegetables 2013-14(Final)'!C24-'3rd Vegetables 2013-14'!C24)/'3rd Vegetables 2013-14'!C24*100</f>
        <v>-0.51931191171697555</v>
      </c>
      <c r="D25" s="6">
        <f>('Vegetables 2013-14(Final)'!D24-'3rd Vegetables 2013-14'!D24)/'3rd Vegetables 2013-14'!D24*100</f>
        <v>0</v>
      </c>
      <c r="E25" s="6">
        <f>('Vegetables 2013-14(Final)'!E24-'3rd Vegetables 2013-14'!E24)/'3rd Vegetables 2013-14'!E24*100</f>
        <v>0</v>
      </c>
      <c r="F25" s="6">
        <f>('Vegetables 2013-14(Final)'!F24-'3rd Vegetables 2013-14'!F24)/'3rd Vegetables 2013-14'!F24*100</f>
        <v>0</v>
      </c>
      <c r="G25" s="6">
        <f>('Vegetables 2013-14(Final)'!G24-'3rd Vegetables 2013-14'!G24)/'3rd Vegetables 2013-14'!G24*100</f>
        <v>0</v>
      </c>
      <c r="H25" s="6">
        <f>('Vegetables 2013-14(Final)'!H24-'3rd Vegetables 2013-14'!H24)/'3rd Vegetables 2013-14'!H24*100</f>
        <v>0</v>
      </c>
      <c r="I25" s="6">
        <f>('Vegetables 2013-14(Final)'!I24-'3rd Vegetables 2013-14'!I24)/'3rd Vegetables 2013-14'!I24*100</f>
        <v>0</v>
      </c>
      <c r="J25" s="6">
        <f>('Vegetables 2013-14(Final)'!J24-'3rd Vegetables 2013-14'!J24)/'3rd Vegetables 2013-14'!J24*100</f>
        <v>1.1031439602868185</v>
      </c>
      <c r="K25" s="6">
        <f>('Vegetables 2013-14(Final)'!K24-'3rd Vegetables 2013-14'!K24)/'3rd Vegetables 2013-14'!K24*100</f>
        <v>1.9291619883637854</v>
      </c>
      <c r="L25" s="6">
        <f>('Vegetables 2013-14(Final)'!L24-'3rd Vegetables 2013-14'!L24)/'3rd Vegetables 2013-14'!L24*100</f>
        <v>-0.42826552462526801</v>
      </c>
      <c r="M25" s="6">
        <f>('Vegetables 2013-14(Final)'!M24-'3rd Vegetables 2013-14'!M24)/'3rd Vegetables 2013-14'!M24*100</f>
        <v>0</v>
      </c>
      <c r="N25" s="6">
        <f>('Vegetables 2013-14(Final)'!N24-'3rd Vegetables 2013-14'!N24)/'3rd Vegetables 2013-14'!N24*100</f>
        <v>56.562922868741552</v>
      </c>
      <c r="O25" s="6">
        <f>('Vegetables 2013-14(Final)'!O24-'3rd Vegetables 2013-14'!O24)/'3rd Vegetables 2013-14'!O24*100</f>
        <v>109.85984514358522</v>
      </c>
      <c r="P25" s="6">
        <f>('Vegetables 2013-14(Final)'!P24-'3rd Vegetables 2013-14'!P24)/'3rd Vegetables 2013-14'!P24*100</f>
        <v>71.241258741258761</v>
      </c>
      <c r="Q25" s="6">
        <f>('Vegetables 2013-14(Final)'!Q24-'3rd Vegetables 2013-14'!Q24)/'3rd Vegetables 2013-14'!Q24*100</f>
        <v>84.833237492811961</v>
      </c>
      <c r="R25" s="6">
        <f>('Vegetables 2013-14(Final)'!R24-'3rd Vegetables 2013-14'!R24)/'3rd Vegetables 2013-14'!R24*100</f>
        <v>0</v>
      </c>
      <c r="S25" s="6">
        <f>('Vegetables 2013-14(Final)'!S24-'3rd Vegetables 2013-14'!S24)/'3rd Vegetables 2013-14'!S24*100</f>
        <v>0</v>
      </c>
      <c r="T25" s="6"/>
      <c r="U25" s="6"/>
      <c r="V25" s="6"/>
      <c r="W25" s="6"/>
      <c r="X25" s="6"/>
      <c r="Y25" s="6"/>
      <c r="Z25" s="6"/>
      <c r="AA25" s="6"/>
      <c r="AB25" s="6">
        <f>('Vegetables 2013-14(Final)'!AB24-'3rd Vegetables 2013-14'!X24)/'3rd Vegetables 2013-14'!X24*100</f>
        <v>0</v>
      </c>
      <c r="AC25" s="6">
        <f>('Vegetables 2013-14(Final)'!AC24-'3rd Vegetables 2013-14'!Y24)/'3rd Vegetables 2013-14'!Y24*100</f>
        <v>0</v>
      </c>
      <c r="AD25" s="6"/>
      <c r="AE25" s="6"/>
      <c r="AF25" s="6">
        <f>('Vegetables 2013-14(Final)'!AF24-'3rd Vegetables 2013-14'!AB24)/'3rd Vegetables 2013-14'!AB24*100</f>
        <v>-0.4576659038901606</v>
      </c>
      <c r="AG25" s="6">
        <f>('Vegetables 2013-14(Final)'!AG24-'3rd Vegetables 2013-14'!AC24)/'3rd Vegetables 2013-14'!AC24*100</f>
        <v>0</v>
      </c>
      <c r="AH25" s="6">
        <f>('Vegetables 2013-14(Final)'!AH24-'3rd Vegetables 2013-14'!AD24)/'3rd Vegetables 2013-14'!AD24*100</f>
        <v>0</v>
      </c>
      <c r="AI25" s="6">
        <f>('Vegetables 2013-14(Final)'!AI24-'3rd Vegetables 2013-14'!AE24)/'3rd Vegetables 2013-14'!AE24*100</f>
        <v>0</v>
      </c>
      <c r="AJ25" s="6">
        <f>('Vegetables 2013-14(Final)'!AJ24-'3rd Vegetables 2013-14'!AF24)/'3rd Vegetables 2013-14'!AF24*100</f>
        <v>120.38690476190477</v>
      </c>
      <c r="AK25" s="6">
        <f>('Vegetables 2013-14(Final)'!AK24-'3rd Vegetables 2013-14'!AG24)/'3rd Vegetables 2013-14'!AG24*100</f>
        <v>222.15896151218405</v>
      </c>
      <c r="AL25" s="6">
        <f>('Vegetables 2013-14(Final)'!AL24-'3rd Vegetables 2013-14'!AH24)/'3rd Vegetables 2013-14'!AH24*100</f>
        <v>0</v>
      </c>
      <c r="AM25" s="6">
        <f>('Vegetables 2013-14(Final)'!AM24-'3rd Vegetables 2013-14'!AI24)/'3rd Vegetables 2013-14'!AI24*100</f>
        <v>0</v>
      </c>
      <c r="AN25" s="6">
        <f>('Vegetables 2013-14(Final)'!AN24-'3rd Vegetables 2013-14'!AJ24)/'3rd Vegetables 2013-14'!AJ24*100</f>
        <v>0</v>
      </c>
      <c r="AO25" s="6">
        <f>('Vegetables 2013-14(Final)'!AO24-'3rd Vegetables 2013-14'!AK24)/'3rd Vegetables 2013-14'!AK24*100</f>
        <v>0</v>
      </c>
      <c r="AP25" s="6">
        <f>('Vegetables 2013-14(Final)'!AP24-'3rd Vegetables 2013-14'!AL24)/'3rd Vegetables 2013-14'!AL24*100</f>
        <v>0</v>
      </c>
      <c r="AQ25" s="6">
        <f>('Vegetables 2013-14(Final)'!AQ24-'3rd Vegetables 2013-14'!AM24)/'3rd Vegetables 2013-14'!AM24*100</f>
        <v>0</v>
      </c>
      <c r="AR25" s="6">
        <f>('Vegetables 2013-14(Final)'!AR24-'3rd Vegetables 2013-14'!AN24)/'3rd Vegetables 2013-14'!AN24*100</f>
        <v>6.9389763779527565</v>
      </c>
      <c r="AS25" s="6">
        <f>('Vegetables 2013-14(Final)'!AS24-'3rd Vegetables 2013-14'!AO24)/'3rd Vegetables 2013-14'!AO24*100</f>
        <v>66.808317384111319</v>
      </c>
      <c r="AT25" s="6"/>
      <c r="AU25" s="6"/>
      <c r="AV25" s="6"/>
      <c r="AW25" s="6"/>
      <c r="AX25" s="6"/>
      <c r="AY25" s="6"/>
      <c r="AZ25" s="2"/>
      <c r="BA25" s="2"/>
    </row>
    <row r="26" spans="1:53" ht="15.75" x14ac:dyDescent="0.25">
      <c r="A26" s="5" t="s">
        <v>31</v>
      </c>
      <c r="B26" s="6">
        <f>('Vegetables 2013-14(Final)'!B25-'3rd Vegetables 2013-14'!B25)/'3rd Vegetables 2013-14'!B25*100</f>
        <v>0</v>
      </c>
      <c r="C26" s="6">
        <f>('Vegetables 2013-14(Final)'!C25-'3rd Vegetables 2013-14'!C25)/'3rd Vegetables 2013-14'!C25*100</f>
        <v>0</v>
      </c>
      <c r="D26" s="6">
        <f>('Vegetables 2013-14(Final)'!D25-'3rd Vegetables 2013-14'!D25)/'3rd Vegetables 2013-14'!D25*100</f>
        <v>0</v>
      </c>
      <c r="E26" s="6">
        <f>('Vegetables 2013-14(Final)'!E25-'3rd Vegetables 2013-14'!E25)/'3rd Vegetables 2013-14'!E25*100</f>
        <v>0</v>
      </c>
      <c r="F26" s="6">
        <f>('Vegetables 2013-14(Final)'!F25-'3rd Vegetables 2013-14'!F25)/'3rd Vegetables 2013-14'!F25*100</f>
        <v>0</v>
      </c>
      <c r="G26" s="6">
        <f>('Vegetables 2013-14(Final)'!G25-'3rd Vegetables 2013-14'!G25)/'3rd Vegetables 2013-14'!G25*100</f>
        <v>0</v>
      </c>
      <c r="H26" s="6">
        <f>('Vegetables 2013-14(Final)'!H25-'3rd Vegetables 2013-14'!H25)/'3rd Vegetables 2013-14'!H25*100</f>
        <v>-0.66225165562914456</v>
      </c>
      <c r="I26" s="6">
        <f>('Vegetables 2013-14(Final)'!I25-'3rd Vegetables 2013-14'!I25)/'3rd Vegetables 2013-14'!I25*100</f>
        <v>-3.0248033877797944</v>
      </c>
      <c r="J26" s="6">
        <f>('Vegetables 2013-14(Final)'!J25-'3rd Vegetables 2013-14'!J25)/'3rd Vegetables 2013-14'!J25*100</f>
        <v>0</v>
      </c>
      <c r="K26" s="6">
        <f>('Vegetables 2013-14(Final)'!K25-'3rd Vegetables 2013-14'!K25)/'3rd Vegetables 2013-14'!K25*100</f>
        <v>0</v>
      </c>
      <c r="L26" s="6">
        <f>('Vegetables 2013-14(Final)'!L25-'3rd Vegetables 2013-14'!L25)/'3rd Vegetables 2013-14'!L25*100</f>
        <v>-16.666666666666661</v>
      </c>
      <c r="M26" s="6">
        <f>('Vegetables 2013-14(Final)'!M25-'3rd Vegetables 2013-14'!M25)/'3rd Vegetables 2013-14'!M25*100</f>
        <v>-17.768301350390903</v>
      </c>
      <c r="N26" s="6">
        <f>('Vegetables 2013-14(Final)'!N25-'3rd Vegetables 2013-14'!N25)/'3rd Vegetables 2013-14'!N25*100</f>
        <v>0</v>
      </c>
      <c r="O26" s="6">
        <f>('Vegetables 2013-14(Final)'!O25-'3rd Vegetables 2013-14'!O25)/'3rd Vegetables 2013-14'!O25*100</f>
        <v>0</v>
      </c>
      <c r="P26" s="6">
        <f>('Vegetables 2013-14(Final)'!P25-'3rd Vegetables 2013-14'!P25)/'3rd Vegetables 2013-14'!P25*100</f>
        <v>-71.428571428571431</v>
      </c>
      <c r="Q26" s="6">
        <f>('Vegetables 2013-14(Final)'!Q25-'3rd Vegetables 2013-14'!Q25)/'3rd Vegetables 2013-14'!Q25*100</f>
        <v>-41.17647058823529</v>
      </c>
      <c r="R26" s="6">
        <f>('Vegetables 2013-14(Final)'!R25-'3rd Vegetables 2013-14'!R25)/'3rd Vegetables 2013-14'!R25*100</f>
        <v>0</v>
      </c>
      <c r="S26" s="6">
        <f>('Vegetables 2013-14(Final)'!S25-'3rd Vegetables 2013-14'!S25)/'3rd Vegetables 2013-14'!S25*100</f>
        <v>-4.5662100456621042</v>
      </c>
      <c r="T26" s="6"/>
      <c r="U26" s="6"/>
      <c r="V26" s="6"/>
      <c r="W26" s="6"/>
      <c r="X26" s="6">
        <f>('Vegetables 2013-14(Final)'!X25-'3rd Vegetables 2013-14'!T25)/'3rd Vegetables 2013-14'!T25*100</f>
        <v>-14.285714285714295</v>
      </c>
      <c r="Y26" s="6">
        <f>('Vegetables 2013-14(Final)'!Y25-'3rd Vegetables 2013-14'!U25)/'3rd Vegetables 2013-14'!U25*100</f>
        <v>-22.61904761904762</v>
      </c>
      <c r="Z26" s="6">
        <f>('Vegetables 2013-14(Final)'!Z25-'3rd Vegetables 2013-14'!V25)/'3rd Vegetables 2013-14'!V25*100</f>
        <v>0</v>
      </c>
      <c r="AA26" s="6">
        <f>('Vegetables 2013-14(Final)'!AA25-'3rd Vegetables 2013-14'!W25)/'3rd Vegetables 2013-14'!W25*100</f>
        <v>0</v>
      </c>
      <c r="AB26" s="6">
        <f>('Vegetables 2013-14(Final)'!AB25-'3rd Vegetables 2013-14'!X25)/'3rd Vegetables 2013-14'!X25*100</f>
        <v>-19.607843137254907</v>
      </c>
      <c r="AC26" s="6">
        <f>('Vegetables 2013-14(Final)'!AC25-'3rd Vegetables 2013-14'!Y25)/'3rd Vegetables 2013-14'!Y25*100</f>
        <v>-21.097046413502106</v>
      </c>
      <c r="AD26" s="6"/>
      <c r="AE26" s="6"/>
      <c r="AF26" s="6">
        <f>('Vegetables 2013-14(Final)'!AF25-'3rd Vegetables 2013-14'!AB25)/'3rd Vegetables 2013-14'!AB25*100</f>
        <v>0</v>
      </c>
      <c r="AG26" s="6">
        <f>('Vegetables 2013-14(Final)'!AG25-'3rd Vegetables 2013-14'!AC25)/'3rd Vegetables 2013-14'!AC25*100</f>
        <v>0</v>
      </c>
      <c r="AH26" s="6">
        <f>('Vegetables 2013-14(Final)'!AH25-'3rd Vegetables 2013-14'!AD25)/'3rd Vegetables 2013-14'!AD25*100</f>
        <v>0</v>
      </c>
      <c r="AI26" s="6">
        <f>('Vegetables 2013-14(Final)'!AI25-'3rd Vegetables 2013-14'!AE25)/'3rd Vegetables 2013-14'!AE25*100</f>
        <v>0</v>
      </c>
      <c r="AJ26" s="6">
        <f>('Vegetables 2013-14(Final)'!AJ25-'3rd Vegetables 2013-14'!AF25)/'3rd Vegetables 2013-14'!AF25*100</f>
        <v>0</v>
      </c>
      <c r="AK26" s="6">
        <f>('Vegetables 2013-14(Final)'!AK25-'3rd Vegetables 2013-14'!AG25)/'3rd Vegetables 2013-14'!AG25*100</f>
        <v>0</v>
      </c>
      <c r="AL26" s="6">
        <f>('Vegetables 2013-14(Final)'!AL25-'3rd Vegetables 2013-14'!AH25)/'3rd Vegetables 2013-14'!AH25*100</f>
        <v>0</v>
      </c>
      <c r="AM26" s="6">
        <f>('Vegetables 2013-14(Final)'!AM25-'3rd Vegetables 2013-14'!AI25)/'3rd Vegetables 2013-14'!AI25*100</f>
        <v>0</v>
      </c>
      <c r="AN26" s="6">
        <f>('Vegetables 2013-14(Final)'!AN25-'3rd Vegetables 2013-14'!AJ25)/'3rd Vegetables 2013-14'!AJ25*100</f>
        <v>0</v>
      </c>
      <c r="AO26" s="6">
        <f>('Vegetables 2013-14(Final)'!AO25-'3rd Vegetables 2013-14'!AK25)/'3rd Vegetables 2013-14'!AK25*100</f>
        <v>0</v>
      </c>
      <c r="AP26" s="6">
        <f>('Vegetables 2013-14(Final)'!AP25-'3rd Vegetables 2013-14'!AL25)/'3rd Vegetables 2013-14'!AL25*100</f>
        <v>-13.333333333333327</v>
      </c>
      <c r="AQ26" s="6">
        <f>('Vegetables 2013-14(Final)'!AQ25-'3rd Vegetables 2013-14'!AM25)/'3rd Vegetables 2013-14'!AM25*100</f>
        <v>-16.299559471365644</v>
      </c>
      <c r="AR26" s="6">
        <f>('Vegetables 2013-14(Final)'!AR25-'3rd Vegetables 2013-14'!AN25)/'3rd Vegetables 2013-14'!AN25*100</f>
        <v>0</v>
      </c>
      <c r="AS26" s="6">
        <f>('Vegetables 2013-14(Final)'!AS25-'3rd Vegetables 2013-14'!AO25)/'3rd Vegetables 2013-14'!AO25*100</f>
        <v>0</v>
      </c>
      <c r="AT26" s="6">
        <f>('Vegetables 2013-14(Final)'!AT25-'3rd Vegetables 2013-14'!AP25)/'3rd Vegetables 2013-14'!AP25*100</f>
        <v>-18.918918918918919</v>
      </c>
      <c r="AU26" s="6">
        <f>('Vegetables 2013-14(Final)'!AU25-'3rd Vegetables 2013-14'!AQ25)/'3rd Vegetables 2013-14'!AQ25*100</f>
        <v>116.21621621621622</v>
      </c>
      <c r="AV26" s="6"/>
      <c r="AW26" s="6"/>
      <c r="AX26" s="6">
        <f>('Vegetables 2013-14(Final)'!AW25-'3rd Vegetables 2013-14'!AR25)/'3rd Vegetables 2013-14'!AR25*100</f>
        <v>-5.2659065192792989</v>
      </c>
      <c r="AY26" s="6">
        <f>('Vegetables 2013-14(Final)'!AX25-'3rd Vegetables 2013-14'!AS25)/'3rd Vegetables 2013-14'!AS25*100</f>
        <v>-3.0541713550876177</v>
      </c>
      <c r="AZ26" s="2">
        <f t="shared" si="0"/>
        <v>-160.16920594536796</v>
      </c>
      <c r="BA26" s="2">
        <f t="shared" si="1"/>
        <v>-13.389394014854858</v>
      </c>
    </row>
    <row r="27" spans="1:53" ht="15.75" x14ac:dyDescent="0.25">
      <c r="A27" s="7" t="s">
        <v>32</v>
      </c>
      <c r="B27" s="6">
        <f>('Vegetables 2013-14(Final)'!B26-'3rd Vegetables 2013-14'!B26)/'3rd Vegetables 2013-14'!B26*100</f>
        <v>5.9090909090909038</v>
      </c>
      <c r="C27" s="6">
        <f>('Vegetables 2013-14(Final)'!C26-'3rd Vegetables 2013-14'!C26)/'3rd Vegetables 2013-14'!C26*100</f>
        <v>5.9659090909090748</v>
      </c>
      <c r="D27" s="6">
        <f>('Vegetables 2013-14(Final)'!D26-'3rd Vegetables 2013-14'!D26)/'3rd Vegetables 2013-14'!D26*100</f>
        <v>7.6923076923076987</v>
      </c>
      <c r="E27" s="6">
        <f>('Vegetables 2013-14(Final)'!E26-'3rd Vegetables 2013-14'!E26)/'3rd Vegetables 2013-14'!E26*100</f>
        <v>7.6923076923076987</v>
      </c>
      <c r="F27" s="6">
        <f>('Vegetables 2013-14(Final)'!F26-'3rd Vegetables 2013-14'!F26)/'3rd Vegetables 2013-14'!F26*100</f>
        <v>0</v>
      </c>
      <c r="G27" s="6">
        <f>('Vegetables 2013-14(Final)'!G26-'3rd Vegetables 2013-14'!G26)/'3rd Vegetables 2013-14'!G26*100</f>
        <v>0</v>
      </c>
      <c r="H27" s="6">
        <f>('Vegetables 2013-14(Final)'!H26-'3rd Vegetables 2013-14'!H26)/'3rd Vegetables 2013-14'!H26*100</f>
        <v>17.142857142857142</v>
      </c>
      <c r="I27" s="6">
        <f>('Vegetables 2013-14(Final)'!I26-'3rd Vegetables 2013-14'!I26)/'3rd Vegetables 2013-14'!I26*100</f>
        <v>-6.2857142857142918</v>
      </c>
      <c r="J27" s="6">
        <f>('Vegetables 2013-14(Final)'!J26-'3rd Vegetables 2013-14'!J26)/'3rd Vegetables 2013-14'!J26*100</f>
        <v>-59.5</v>
      </c>
      <c r="K27" s="6">
        <f>('Vegetables 2013-14(Final)'!K26-'3rd Vegetables 2013-14'!K26)/'3rd Vegetables 2013-14'!K26*100</f>
        <v>1.25</v>
      </c>
      <c r="L27" s="6"/>
      <c r="M27" s="6"/>
      <c r="N27" s="6">
        <f>('Vegetables 2013-14(Final)'!N26-'3rd Vegetables 2013-14'!N26)/'3rd Vegetables 2013-14'!N26*100</f>
        <v>2.0000000000000018</v>
      </c>
      <c r="O27" s="6">
        <f>('Vegetables 2013-14(Final)'!O26-'3rd Vegetables 2013-14'!O26)/'3rd Vegetables 2013-14'!O26*100</f>
        <v>2.0000000000000018</v>
      </c>
      <c r="P27" s="6">
        <f>('Vegetables 2013-14(Final)'!P26-'3rd Vegetables 2013-14'!P26)/'3rd Vegetables 2013-14'!P26*100</f>
        <v>-89.666666666666657</v>
      </c>
      <c r="Q27" s="6">
        <f>('Vegetables 2013-14(Final)'!Q26-'3rd Vegetables 2013-14'!Q26)/'3rd Vegetables 2013-14'!Q26*100</f>
        <v>37.777777777777771</v>
      </c>
      <c r="R27" s="6">
        <f>('Vegetables 2013-14(Final)'!R26-'3rd Vegetables 2013-14'!R26)/'3rd Vegetables 2013-14'!R26*100</f>
        <v>2.2222222222222241</v>
      </c>
      <c r="S27" s="6">
        <f>('Vegetables 2013-14(Final)'!S26-'3rd Vegetables 2013-14'!S26)/'3rd Vegetables 2013-14'!S26*100</f>
        <v>27.777777777777761</v>
      </c>
      <c r="T27" s="6"/>
      <c r="U27" s="6"/>
      <c r="V27" s="6"/>
      <c r="W27" s="6"/>
      <c r="X27" s="6"/>
      <c r="Y27" s="6"/>
      <c r="Z27" s="6">
        <f>('Vegetables 2013-14(Final)'!Z26-'3rd Vegetables 2013-14'!V26)/'3rd Vegetables 2013-14'!V26*100</f>
        <v>6.6666666666666732</v>
      </c>
      <c r="AA27" s="6">
        <f>('Vegetables 2013-14(Final)'!AA26-'3rd Vegetables 2013-14'!W26)/'3rd Vegetables 2013-14'!W26*100</f>
        <v>6.6666666666666732</v>
      </c>
      <c r="AB27" s="6">
        <f>('Vegetables 2013-14(Final)'!AB26-'3rd Vegetables 2013-14'!X26)/'3rd Vegetables 2013-14'!X26*100</f>
        <v>0</v>
      </c>
      <c r="AC27" s="6">
        <f>('Vegetables 2013-14(Final)'!AC26-'3rd Vegetables 2013-14'!Y26)/'3rd Vegetables 2013-14'!Y26*100</f>
        <v>10.000000000000002</v>
      </c>
      <c r="AD27" s="6"/>
      <c r="AE27" s="6"/>
      <c r="AF27" s="6">
        <f>('Vegetables 2013-14(Final)'!AF26-'3rd Vegetables 2013-14'!AB26)/'3rd Vegetables 2013-14'!AB26*100</f>
        <v>0.64516129032258118</v>
      </c>
      <c r="AG27" s="6">
        <f>('Vegetables 2013-14(Final)'!AG26-'3rd Vegetables 2013-14'!AC26)/'3rd Vegetables 2013-14'!AC26*100</f>
        <v>-39.612903225806456</v>
      </c>
      <c r="AH27" s="6">
        <f>('Vegetables 2013-14(Final)'!AH26-'3rd Vegetables 2013-14'!AD26)/'3rd Vegetables 2013-14'!AD26*100</f>
        <v>12.093023255813964</v>
      </c>
      <c r="AI27" s="6">
        <f>('Vegetables 2013-14(Final)'!AI26-'3rd Vegetables 2013-14'!AE26)/'3rd Vegetables 2013-14'!AE26*100</f>
        <v>0.93023255813952599</v>
      </c>
      <c r="AJ27" s="6">
        <f>('Vegetables 2013-14(Final)'!AJ26-'3rd Vegetables 2013-14'!AF26)/'3rd Vegetables 2013-14'!AF26*100</f>
        <v>10.000000000000009</v>
      </c>
      <c r="AK27" s="6">
        <f>('Vegetables 2013-14(Final)'!AK26-'3rd Vegetables 2013-14'!AG26)/'3rd Vegetables 2013-14'!AG26*100</f>
        <v>10</v>
      </c>
      <c r="AL27" s="6">
        <f>('Vegetables 2013-14(Final)'!AL26-'3rd Vegetables 2013-14'!AH26)/'3rd Vegetables 2013-14'!AH26*100</f>
        <v>2.0000000000000018</v>
      </c>
      <c r="AM27" s="6">
        <f>('Vegetables 2013-14(Final)'!AM26-'3rd Vegetables 2013-14'!AI26)/'3rd Vegetables 2013-14'!AI26*100</f>
        <v>1.9999999999999927</v>
      </c>
      <c r="AN27" s="6">
        <f>('Vegetables 2013-14(Final)'!AN26-'3rd Vegetables 2013-14'!AJ26)/'3rd Vegetables 2013-14'!AJ26*100</f>
        <v>0.64516129032258118</v>
      </c>
      <c r="AO27" s="6">
        <f>('Vegetables 2013-14(Final)'!AO26-'3rd Vegetables 2013-14'!AK26)/'3rd Vegetables 2013-14'!AK26*100</f>
        <v>0.64516129032257452</v>
      </c>
      <c r="AP27" s="6">
        <f>('Vegetables 2013-14(Final)'!AP26-'3rd Vegetables 2013-14'!AL26)/'3rd Vegetables 2013-14'!AL26*100</f>
        <v>0.81967213114755266</v>
      </c>
      <c r="AQ27" s="6">
        <f>('Vegetables 2013-14(Final)'!AQ26-'3rd Vegetables 2013-14'!AM26)/'3rd Vegetables 2013-14'!AM26*100</f>
        <v>0.81967213114754101</v>
      </c>
      <c r="AR27" s="6">
        <f>('Vegetables 2013-14(Final)'!AR26-'3rd Vegetables 2013-14'!AN26)/'3rd Vegetables 2013-14'!AN26*100</f>
        <v>60.000000000000021</v>
      </c>
      <c r="AS27" s="6">
        <f>('Vegetables 2013-14(Final)'!AS26-'3rd Vegetables 2013-14'!AO26)/'3rd Vegetables 2013-14'!AO26*100</f>
        <v>-1.9607843137254832</v>
      </c>
      <c r="AT27" s="6">
        <f>('Vegetables 2013-14(Final)'!AT26-'3rd Vegetables 2013-14'!AP26)/'3rd Vegetables 2013-14'!AP26*100</f>
        <v>20</v>
      </c>
      <c r="AU27" s="6">
        <f>('Vegetables 2013-14(Final)'!AU26-'3rd Vegetables 2013-14'!AQ26)/'3rd Vegetables 2013-14'!AQ26*100</f>
        <v>20.000000000000004</v>
      </c>
      <c r="AV27" s="6"/>
      <c r="AW27" s="6"/>
      <c r="AX27" s="6">
        <f>('Vegetables 2013-14(Final)'!AW26-'3rd Vegetables 2013-14'!AR26)/'3rd Vegetables 2013-14'!AR26*100</f>
        <v>-80</v>
      </c>
      <c r="AY27" s="6">
        <f>('Vegetables 2013-14(Final)'!AX26-'3rd Vegetables 2013-14'!AS26)/'3rd Vegetables 2013-14'!AS26*100</f>
        <v>-78.84615384615384</v>
      </c>
      <c r="AZ27" s="2">
        <f t="shared" si="0"/>
        <v>-81.330504065915306</v>
      </c>
      <c r="BA27" s="2">
        <f t="shared" si="1"/>
        <v>6.8199493136485358</v>
      </c>
    </row>
    <row r="28" spans="1:53" ht="15.75" x14ac:dyDescent="0.25">
      <c r="A28" s="5" t="s">
        <v>189</v>
      </c>
      <c r="B28" s="6">
        <f>('Vegetables 2013-14(Final)'!B27-'3rd Vegetables 2013-14'!B27)/'3rd Vegetables 2013-14'!B27*100</f>
        <v>0</v>
      </c>
      <c r="C28" s="6">
        <f>('Vegetables 2013-14(Final)'!C27-'3rd Vegetables 2013-14'!C27)/'3rd Vegetables 2013-14'!C27*100</f>
        <v>0</v>
      </c>
      <c r="D28" s="6">
        <f>('Vegetables 2013-14(Final)'!D27-'3rd Vegetables 2013-14'!D27)/'3rd Vegetables 2013-14'!D27*100</f>
        <v>0</v>
      </c>
      <c r="E28" s="6">
        <f>('Vegetables 2013-14(Final)'!E27-'3rd Vegetables 2013-14'!E27)/'3rd Vegetables 2013-14'!E27*100</f>
        <v>0</v>
      </c>
      <c r="F28" s="6">
        <f>('Vegetables 2013-14(Final)'!F27-'3rd Vegetables 2013-14'!F27)/'3rd Vegetables 2013-14'!F27*100</f>
        <v>0</v>
      </c>
      <c r="G28" s="6">
        <f>('Vegetables 2013-14(Final)'!G27-'3rd Vegetables 2013-14'!G27)/'3rd Vegetables 2013-14'!G27*100</f>
        <v>0</v>
      </c>
      <c r="H28" s="6">
        <f>('Vegetables 2013-14(Final)'!H27-'3rd Vegetables 2013-14'!H27)/'3rd Vegetables 2013-14'!H27*100</f>
        <v>0</v>
      </c>
      <c r="I28" s="6">
        <f>('Vegetables 2013-14(Final)'!I27-'3rd Vegetables 2013-14'!I27)/'3rd Vegetables 2013-14'!I27*100</f>
        <v>0</v>
      </c>
      <c r="J28" s="6">
        <f>('Vegetables 2013-14(Final)'!J27-'3rd Vegetables 2013-14'!J27)/'3rd Vegetables 2013-14'!J27*100</f>
        <v>0</v>
      </c>
      <c r="K28" s="6">
        <f>('Vegetables 2013-14(Final)'!K27-'3rd Vegetables 2013-14'!K27)/'3rd Vegetables 2013-14'!K27*100</f>
        <v>0</v>
      </c>
      <c r="L28" s="6">
        <f>('Vegetables 2013-14(Final)'!L27-'3rd Vegetables 2013-14'!L27)/'3rd Vegetables 2013-14'!L27*100</f>
        <v>0</v>
      </c>
      <c r="M28" s="6">
        <f>('Vegetables 2013-14(Final)'!M27-'3rd Vegetables 2013-14'!M27)/'3rd Vegetables 2013-14'!M27*100</f>
        <v>0</v>
      </c>
      <c r="N28" s="6">
        <f>('Vegetables 2013-14(Final)'!N27-'3rd Vegetables 2013-14'!N27)/'3rd Vegetables 2013-14'!N27*100</f>
        <v>0</v>
      </c>
      <c r="O28" s="6">
        <f>('Vegetables 2013-14(Final)'!O27-'3rd Vegetables 2013-14'!O27)/'3rd Vegetables 2013-14'!O27*100</f>
        <v>0</v>
      </c>
      <c r="P28" s="6">
        <f>('Vegetables 2013-14(Final)'!P27-'3rd Vegetables 2013-14'!P27)/'3rd Vegetables 2013-14'!P27*100</f>
        <v>0</v>
      </c>
      <c r="Q28" s="6">
        <f>('Vegetables 2013-14(Final)'!Q27-'3rd Vegetables 2013-14'!Q27)/'3rd Vegetables 2013-14'!Q27*100</f>
        <v>0</v>
      </c>
      <c r="R28" s="6">
        <f>('Vegetables 2013-14(Final)'!R27-'3rd Vegetables 2013-14'!R27)/'3rd Vegetables 2013-14'!R27*100</f>
        <v>0</v>
      </c>
      <c r="S28" s="6">
        <f>('Vegetables 2013-14(Final)'!S27-'3rd Vegetables 2013-14'!S27)/'3rd Vegetables 2013-14'!S27*100</f>
        <v>0</v>
      </c>
      <c r="T28" s="6"/>
      <c r="U28" s="6"/>
      <c r="V28" s="6"/>
      <c r="W28" s="6"/>
      <c r="X28" s="6">
        <f>('Vegetables 2013-14(Final)'!X27-'3rd Vegetables 2013-14'!T27)/'3rd Vegetables 2013-14'!T27*100</f>
        <v>0</v>
      </c>
      <c r="Y28" s="6">
        <f>('Vegetables 2013-14(Final)'!Y27-'3rd Vegetables 2013-14'!U27)/'3rd Vegetables 2013-14'!U27*100</f>
        <v>0</v>
      </c>
      <c r="Z28" s="6">
        <f>('Vegetables 2013-14(Final)'!Z27-'3rd Vegetables 2013-14'!V27)/'3rd Vegetables 2013-14'!V27*100</f>
        <v>0</v>
      </c>
      <c r="AA28" s="6">
        <f>('Vegetables 2013-14(Final)'!AA27-'3rd Vegetables 2013-14'!W27)/'3rd Vegetables 2013-14'!W27*100</f>
        <v>0</v>
      </c>
      <c r="AB28" s="6">
        <f>('Vegetables 2013-14(Final)'!AB27-'3rd Vegetables 2013-14'!X27)/'3rd Vegetables 2013-14'!X27*100</f>
        <v>0</v>
      </c>
      <c r="AC28" s="6">
        <f>('Vegetables 2013-14(Final)'!AC27-'3rd Vegetables 2013-14'!Y27)/'3rd Vegetables 2013-14'!Y27*100</f>
        <v>0</v>
      </c>
      <c r="AD28" s="6">
        <f>('Vegetables 2013-14(Final)'!AD27-'3rd Vegetables 2013-14'!Z27)/'3rd Vegetables 2013-14'!Z27*100</f>
        <v>0</v>
      </c>
      <c r="AE28" s="6">
        <f>('Vegetables 2013-14(Final)'!AE27-'3rd Vegetables 2013-14'!AA27)/'3rd Vegetables 2013-14'!AA27*100</f>
        <v>0</v>
      </c>
      <c r="AF28" s="6">
        <f>('Vegetables 2013-14(Final)'!AF27-'3rd Vegetables 2013-14'!AB27)/'3rd Vegetables 2013-14'!AB27*100</f>
        <v>0</v>
      </c>
      <c r="AG28" s="6">
        <f>('Vegetables 2013-14(Final)'!AG27-'3rd Vegetables 2013-14'!AC27)/'3rd Vegetables 2013-14'!AC27*100</f>
        <v>0</v>
      </c>
      <c r="AH28" s="6">
        <f>('Vegetables 2013-14(Final)'!AH27-'3rd Vegetables 2013-14'!AD27)/'3rd Vegetables 2013-14'!AD27*100</f>
        <v>0</v>
      </c>
      <c r="AI28" s="6">
        <f>('Vegetables 2013-14(Final)'!AI27-'3rd Vegetables 2013-14'!AE27)/'3rd Vegetables 2013-14'!AE27*100</f>
        <v>0</v>
      </c>
      <c r="AJ28" s="6">
        <f>('Vegetables 2013-14(Final)'!AJ27-'3rd Vegetables 2013-14'!AF27)/'3rd Vegetables 2013-14'!AF27*100</f>
        <v>0</v>
      </c>
      <c r="AK28" s="6">
        <f>('Vegetables 2013-14(Final)'!AK27-'3rd Vegetables 2013-14'!AG27)/'3rd Vegetables 2013-14'!AG27*100</f>
        <v>0</v>
      </c>
      <c r="AL28" s="6"/>
      <c r="AM28" s="6"/>
      <c r="AN28" s="6">
        <f>('Vegetables 2013-14(Final)'!AN27-'3rd Vegetables 2013-14'!AJ27)/'3rd Vegetables 2013-14'!AJ27*100</f>
        <v>0</v>
      </c>
      <c r="AO28" s="6">
        <f>('Vegetables 2013-14(Final)'!AO27-'3rd Vegetables 2013-14'!AK27)/'3rd Vegetables 2013-14'!AK27*100</f>
        <v>0</v>
      </c>
      <c r="AP28" s="6">
        <f>('Vegetables 2013-14(Final)'!AP27-'3rd Vegetables 2013-14'!AL27)/'3rd Vegetables 2013-14'!AL27*100</f>
        <v>0</v>
      </c>
      <c r="AQ28" s="6">
        <f>('Vegetables 2013-14(Final)'!AQ27-'3rd Vegetables 2013-14'!AM27)/'3rd Vegetables 2013-14'!AM27*100</f>
        <v>0</v>
      </c>
      <c r="AR28" s="6">
        <f>('Vegetables 2013-14(Final)'!AR27-'3rd Vegetables 2013-14'!AN27)/'3rd Vegetables 2013-14'!AN27*100</f>
        <v>0</v>
      </c>
      <c r="AS28" s="6">
        <f>('Vegetables 2013-14(Final)'!AS27-'3rd Vegetables 2013-14'!AO27)/'3rd Vegetables 2013-14'!AO27*100</f>
        <v>0</v>
      </c>
      <c r="AT28" s="6">
        <f>('Vegetables 2013-14(Final)'!AT27-'3rd Vegetables 2013-14'!AP27)/'3rd Vegetables 2013-14'!AP27*100</f>
        <v>0</v>
      </c>
      <c r="AU28" s="6">
        <f>('Vegetables 2013-14(Final)'!AU27-'3rd Vegetables 2013-14'!AQ27)/'3rd Vegetables 2013-14'!AQ27*100</f>
        <v>0</v>
      </c>
      <c r="AV28" s="6"/>
      <c r="AW28" s="6"/>
      <c r="AX28" s="6">
        <f>('Vegetables 2013-14(Final)'!AW27-'3rd Vegetables 2013-14'!AR27)/'3rd Vegetables 2013-14'!AR27*100</f>
        <v>0</v>
      </c>
      <c r="AY28" s="6">
        <f>('Vegetables 2013-14(Final)'!AX27-'3rd Vegetables 2013-14'!AS27)/'3rd Vegetables 2013-14'!AS27*100</f>
        <v>-0.52549327256539424</v>
      </c>
      <c r="AZ28" s="2">
        <f t="shared" si="0"/>
        <v>0</v>
      </c>
      <c r="BA28" s="2">
        <f t="shared" si="1"/>
        <v>-0.52549327256539424</v>
      </c>
    </row>
    <row r="29" spans="1:53" ht="15.75" x14ac:dyDescent="0.25">
      <c r="A29" s="7" t="s">
        <v>167</v>
      </c>
      <c r="B29" s="6">
        <f>('Vegetables 2013-14(Final)'!B28-'3rd Vegetables 2013-14'!B28)/'3rd Vegetables 2013-14'!B28*100</f>
        <v>0</v>
      </c>
      <c r="C29" s="6">
        <f>('Vegetables 2013-14(Final)'!C28-'3rd Vegetables 2013-14'!C28)/'3rd Vegetables 2013-14'!C28*100</f>
        <v>0</v>
      </c>
      <c r="D29" s="6">
        <f>('Vegetables 2013-14(Final)'!D28-'3rd Vegetables 2013-14'!D28)/'3rd Vegetables 2013-14'!D28*100</f>
        <v>0</v>
      </c>
      <c r="E29" s="6">
        <f>('Vegetables 2013-14(Final)'!E28-'3rd Vegetables 2013-14'!E28)/'3rd Vegetables 2013-14'!E28*100</f>
        <v>0</v>
      </c>
      <c r="F29" s="6">
        <f>('Vegetables 2013-14(Final)'!F28-'3rd Vegetables 2013-14'!F28)/'3rd Vegetables 2013-14'!F28*100</f>
        <v>0</v>
      </c>
      <c r="G29" s="6">
        <f>('Vegetables 2013-14(Final)'!G28-'3rd Vegetables 2013-14'!G28)/'3rd Vegetables 2013-14'!G28*100</f>
        <v>0</v>
      </c>
      <c r="H29" s="6">
        <f>('Vegetables 2013-14(Final)'!H28-'3rd Vegetables 2013-14'!H28)/'3rd Vegetables 2013-14'!H28*100</f>
        <v>0</v>
      </c>
      <c r="I29" s="6">
        <f>('Vegetables 2013-14(Final)'!I28-'3rd Vegetables 2013-14'!I28)/'3rd Vegetables 2013-14'!I28*100</f>
        <v>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>
        <f>('Vegetables 2013-14(Final)'!X28-'3rd Vegetables 2013-14'!T28)/'3rd Vegetables 2013-14'!T28*100</f>
        <v>0</v>
      </c>
      <c r="Y29" s="6">
        <f>('Vegetables 2013-14(Final)'!Y28-'3rd Vegetables 2013-14'!U28)/'3rd Vegetables 2013-14'!U28*100</f>
        <v>0</v>
      </c>
      <c r="Z29" s="6">
        <f>('Vegetables 2013-14(Final)'!Z28-'3rd Vegetables 2013-14'!V28)/'3rd Vegetables 2013-14'!V28*100</f>
        <v>0</v>
      </c>
      <c r="AA29" s="6">
        <f>('Vegetables 2013-14(Final)'!AA28-'3rd Vegetables 2013-14'!W28)/'3rd Vegetables 2013-14'!W28*100</f>
        <v>0</v>
      </c>
      <c r="AB29" s="6">
        <f>('Vegetables 2013-14(Final)'!AB28-'3rd Vegetables 2013-14'!X28)/'3rd Vegetables 2013-14'!X28*100</f>
        <v>0</v>
      </c>
      <c r="AC29" s="6">
        <f>('Vegetables 2013-14(Final)'!AC28-'3rd Vegetables 2013-14'!Y28)/'3rd Vegetables 2013-14'!Y28*100</f>
        <v>0</v>
      </c>
      <c r="AD29" s="6"/>
      <c r="AE29" s="6"/>
      <c r="AF29" s="6"/>
      <c r="AG29" s="6"/>
      <c r="AH29" s="6"/>
      <c r="AI29" s="6"/>
      <c r="AJ29" s="6">
        <f>('Vegetables 2013-14(Final)'!AJ28-'3rd Vegetables 2013-14'!AF28)/'3rd Vegetables 2013-14'!AF28*100</f>
        <v>0</v>
      </c>
      <c r="AK29" s="6">
        <f>('Vegetables 2013-14(Final)'!AK28-'3rd Vegetables 2013-14'!AG28)/'3rd Vegetables 2013-14'!AG28*100</f>
        <v>0</v>
      </c>
      <c r="AL29" s="6"/>
      <c r="AM29" s="6"/>
      <c r="AN29" s="6">
        <f>('Vegetables 2013-14(Final)'!AN28-'3rd Vegetables 2013-14'!AJ28)/'3rd Vegetables 2013-14'!AJ28*100</f>
        <v>0</v>
      </c>
      <c r="AO29" s="6">
        <f>('Vegetables 2013-14(Final)'!AO28-'3rd Vegetables 2013-14'!AK28)/'3rd Vegetables 2013-14'!AK28*100</f>
        <v>0</v>
      </c>
      <c r="AP29" s="6">
        <f>('Vegetables 2013-14(Final)'!AP28-'3rd Vegetables 2013-14'!AL28)/'3rd Vegetables 2013-14'!AL28*100</f>
        <v>0</v>
      </c>
      <c r="AQ29" s="6">
        <f>('Vegetables 2013-14(Final)'!AQ28-'3rd Vegetables 2013-14'!AM28)/'3rd Vegetables 2013-14'!AM28*100</f>
        <v>0</v>
      </c>
      <c r="AR29" s="6">
        <f>('Vegetables 2013-14(Final)'!AR28-'3rd Vegetables 2013-14'!AN28)/'3rd Vegetables 2013-14'!AN28*100</f>
        <v>0</v>
      </c>
      <c r="AS29" s="6">
        <f>('Vegetables 2013-14(Final)'!AS28-'3rd Vegetables 2013-14'!AO28)/'3rd Vegetables 2013-14'!AO28*100</f>
        <v>0</v>
      </c>
      <c r="AT29" s="6">
        <f>('Vegetables 2013-14(Final)'!AT28-'3rd Vegetables 2013-14'!AP28)/'3rd Vegetables 2013-14'!AP28*100</f>
        <v>0</v>
      </c>
      <c r="AU29" s="6">
        <f>('Vegetables 2013-14(Final)'!AU28-'3rd Vegetables 2013-14'!AQ28)/'3rd Vegetables 2013-14'!AQ28*100</f>
        <v>0</v>
      </c>
      <c r="AV29" s="6"/>
      <c r="AW29" s="6"/>
      <c r="AX29" s="6">
        <f>('Vegetables 2013-14(Final)'!AW28-'3rd Vegetables 2013-14'!AR28)/'3rd Vegetables 2013-14'!AR28*100</f>
        <v>0</v>
      </c>
      <c r="AY29" s="6">
        <f>('Vegetables 2013-14(Final)'!AX28-'3rd Vegetables 2013-14'!AS28)/'3rd Vegetables 2013-14'!AS28*100</f>
        <v>0</v>
      </c>
      <c r="AZ29" s="2">
        <f t="shared" si="0"/>
        <v>0</v>
      </c>
      <c r="BA29" s="2">
        <f t="shared" si="1"/>
        <v>0</v>
      </c>
    </row>
    <row r="30" spans="1:53" ht="15.75" x14ac:dyDescent="0.25">
      <c r="A30" s="5" t="s">
        <v>33</v>
      </c>
      <c r="B30" s="6"/>
      <c r="C30" s="6"/>
      <c r="D30" s="6">
        <f>('Vegetables 2013-14(Final)'!D29-'3rd Vegetables 2013-14'!D29)/'3rd Vegetables 2013-14'!D29*100</f>
        <v>-0.18867924528301902</v>
      </c>
      <c r="E30" s="6">
        <f>('Vegetables 2013-14(Final)'!E29-'3rd Vegetables 2013-14'!E29)/'3rd Vegetables 2013-14'!E29*100</f>
        <v>0.76801517067003333</v>
      </c>
      <c r="F30" s="6">
        <f>('Vegetables 2013-14(Final)'!F29-'3rd Vegetables 2013-14'!F29)/'3rd Vegetables 2013-14'!F29*100</f>
        <v>0.35443037974683012</v>
      </c>
      <c r="G30" s="6">
        <f>('Vegetables 2013-14(Final)'!G29-'3rd Vegetables 2013-14'!G29)/'3rd Vegetables 2013-14'!G29*100</f>
        <v>1.0549022925302429</v>
      </c>
      <c r="H30" s="6">
        <f>('Vegetables 2013-14(Final)'!H29-'3rd Vegetables 2013-14'!H29)/'3rd Vegetables 2013-14'!H29*100</f>
        <v>-2.5906735751292483E-2</v>
      </c>
      <c r="I30" s="6">
        <f>('Vegetables 2013-14(Final)'!I29-'3rd Vegetables 2013-14'!I29)/'3rd Vegetables 2013-14'!I29*100</f>
        <v>-0.15096177258338839</v>
      </c>
      <c r="J30" s="6">
        <f>('Vegetables 2013-14(Final)'!J29-'3rd Vegetables 2013-14'!J29)/'3rd Vegetables 2013-14'!J29*100</f>
        <v>0</v>
      </c>
      <c r="K30" s="6">
        <f>('Vegetables 2013-14(Final)'!K29-'3rd Vegetables 2013-14'!K29)/'3rd Vegetables 2013-14'!K29*100</f>
        <v>0.23450971376021124</v>
      </c>
      <c r="L30" s="6">
        <f>('Vegetables 2013-14(Final)'!L29-'3rd Vegetables 2013-14'!L29)/'3rd Vegetables 2013-14'!L29*100</f>
        <v>-6.9696969696969759</v>
      </c>
      <c r="M30" s="6">
        <f>('Vegetables 2013-14(Final)'!M29-'3rd Vegetables 2013-14'!M29)/'3rd Vegetables 2013-14'!M29*100</f>
        <v>-2.3578947368421073</v>
      </c>
      <c r="N30" s="6">
        <f>('Vegetables 2013-14(Final)'!N29-'3rd Vegetables 2013-14'!N29)/'3rd Vegetables 2013-14'!N29*100</f>
        <v>4.8701298701300542E-2</v>
      </c>
      <c r="O30" s="6">
        <f>('Vegetables 2013-14(Final)'!O29-'3rd Vegetables 2013-14'!O29)/'3rd Vegetables 2013-14'!O29*100</f>
        <v>0.22574257425742303</v>
      </c>
      <c r="P30" s="6">
        <f>('Vegetables 2013-14(Final)'!P29-'3rd Vegetables 2013-14'!P29)/'3rd Vegetables 2013-14'!P29*100</f>
        <v>3.2733224222582319E-2</v>
      </c>
      <c r="Q30" s="6">
        <f>('Vegetables 2013-14(Final)'!Q29-'3rd Vegetables 2013-14'!Q29)/'3rd Vegetables 2013-14'!Q29*100</f>
        <v>0.21258114656670177</v>
      </c>
      <c r="R30" s="6">
        <f>('Vegetables 2013-14(Final)'!R29-'3rd Vegetables 2013-14'!R29)/'3rd Vegetables 2013-14'!R29*100</f>
        <v>-0.35714285714285743</v>
      </c>
      <c r="S30" s="6">
        <f>('Vegetables 2013-14(Final)'!S29-'3rd Vegetables 2013-14'!S29)/'3rd Vegetables 2013-14'!S29*100</f>
        <v>0.14000595770031887</v>
      </c>
      <c r="T30" s="6"/>
      <c r="U30" s="6"/>
      <c r="V30" s="6"/>
      <c r="W30" s="6"/>
      <c r="X30" s="6">
        <f>('Vegetables 2013-14(Final)'!X29-'3rd Vegetables 2013-14'!T29)/'3rd Vegetables 2013-14'!T29*100</f>
        <v>0</v>
      </c>
      <c r="Y30" s="6">
        <f>('Vegetables 2013-14(Final)'!Y29-'3rd Vegetables 2013-14'!U29)/'3rd Vegetables 2013-14'!U29*100</f>
        <v>0.18382780686445754</v>
      </c>
      <c r="Z30" s="6">
        <f>('Vegetables 2013-14(Final)'!Z29-'3rd Vegetables 2013-14'!V29)/'3rd Vegetables 2013-14'!V29*100</f>
        <v>0.12500000000000011</v>
      </c>
      <c r="AA30" s="6">
        <f>('Vegetables 2013-14(Final)'!AA29-'3rd Vegetables 2013-14'!W29)/'3rd Vegetables 2013-14'!W29*100</f>
        <v>3.2993401319723087E-2</v>
      </c>
      <c r="AB30" s="6">
        <f>('Vegetables 2013-14(Final)'!AB29-'3rd Vegetables 2013-14'!X29)/'3rd Vegetables 2013-14'!X29*100</f>
        <v>4.8076923076917778E-2</v>
      </c>
      <c r="AC30" s="6">
        <f>('Vegetables 2013-14(Final)'!AC29-'3rd Vegetables 2013-14'!Y29)/'3rd Vegetables 2013-14'!Y29*100</f>
        <v>0.387156162009965</v>
      </c>
      <c r="AD30" s="6"/>
      <c r="AE30" s="6"/>
      <c r="AF30" s="6">
        <f>('Vegetables 2013-14(Final)'!AF29-'3rd Vegetables 2013-14'!AB29)/'3rd Vegetables 2013-14'!AB29*100</f>
        <v>1.947419668939307E-2</v>
      </c>
      <c r="AG30" s="6">
        <f>('Vegetables 2013-14(Final)'!AG29-'3rd Vegetables 2013-14'!AC29)/'3rd Vegetables 2013-14'!AC29*100</f>
        <v>0.48417842165458974</v>
      </c>
      <c r="AH30" s="6">
        <f>('Vegetables 2013-14(Final)'!AH29-'3rd Vegetables 2013-14'!AD29)/'3rd Vegetables 2013-14'!AD29*100</f>
        <v>4.585052728111977E-3</v>
      </c>
      <c r="AI30" s="6">
        <f>('Vegetables 2013-14(Final)'!AI29-'3rd Vegetables 2013-14'!AE29)/'3rd Vegetables 2013-14'!AE29*100</f>
        <v>0.36953830635917406</v>
      </c>
      <c r="AJ30" s="6">
        <f>('Vegetables 2013-14(Final)'!AJ29-'3rd Vegetables 2013-14'!AF29)/'3rd Vegetables 2013-14'!AF29*100</f>
        <v>-2.4330900243309927E-2</v>
      </c>
      <c r="AK30" s="6">
        <f>('Vegetables 2013-14(Final)'!AK29-'3rd Vegetables 2013-14'!AG29)/'3rd Vegetables 2013-14'!AG29*100</f>
        <v>0.22058532335353706</v>
      </c>
      <c r="AL30" s="6">
        <f>('Vegetables 2013-14(Final)'!AL29-'3rd Vegetables 2013-14'!AH29)/'3rd Vegetables 2013-14'!AH29*100</f>
        <v>-17.692307692307697</v>
      </c>
      <c r="AM30" s="6">
        <f>('Vegetables 2013-14(Final)'!AM29-'3rd Vegetables 2013-14'!AI29)/'3rd Vegetables 2013-14'!AI29*100</f>
        <v>-9.3220338983050866</v>
      </c>
      <c r="AN30" s="6"/>
      <c r="AO30" s="6"/>
      <c r="AP30" s="6">
        <f>('Vegetables 2013-14(Final)'!AP29-'3rd Vegetables 2013-14'!AL29)/'3rd Vegetables 2013-14'!AL29*100</f>
        <v>0.1951219512195124</v>
      </c>
      <c r="AQ30" s="6">
        <f>('Vegetables 2013-14(Final)'!AQ29-'3rd Vegetables 2013-14'!AM29)/'3rd Vegetables 2013-14'!AM29*100</f>
        <v>0.21625475285171361</v>
      </c>
      <c r="AR30" s="6">
        <f>('Vegetables 2013-14(Final)'!AR29-'3rd Vegetables 2013-14'!AN29)/'3rd Vegetables 2013-14'!AN29*100</f>
        <v>-5.4127198917450062E-2</v>
      </c>
      <c r="AS30" s="6">
        <f>('Vegetables 2013-14(Final)'!AS29-'3rd Vegetables 2013-14'!AO29)/'3rd Vegetables 2013-14'!AO29*100</f>
        <v>-0.65891260218358572</v>
      </c>
      <c r="AT30" s="6">
        <f>('Vegetables 2013-14(Final)'!AT29-'3rd Vegetables 2013-14'!AP29)/'3rd Vegetables 2013-14'!AP29*100</f>
        <v>0</v>
      </c>
      <c r="AU30" s="6">
        <f>('Vegetables 2013-14(Final)'!AU29-'3rd Vegetables 2013-14'!AQ29)/'3rd Vegetables 2013-14'!AQ29*100</f>
        <v>-0.80818965517240626</v>
      </c>
      <c r="AV30" s="6"/>
      <c r="AW30" s="6"/>
      <c r="AX30" s="6">
        <f>('Vegetables 2013-14(Final)'!AW29-'3rd Vegetables 2013-14'!AR29)/'3rd Vegetables 2013-14'!AR29*100</f>
        <v>0.79601990049751326</v>
      </c>
      <c r="AY30" s="6">
        <f>('Vegetables 2013-14(Final)'!AX29-'3rd Vegetables 2013-14'!AS29)/'3rd Vegetables 2013-14'!AS29*100</f>
        <v>5.0197203298658281E-2</v>
      </c>
      <c r="AZ30" s="2">
        <f t="shared" si="0"/>
        <v>-23.68804867246044</v>
      </c>
      <c r="BA30" s="2">
        <f t="shared" si="1"/>
        <v>-8.7175044318898252</v>
      </c>
    </row>
    <row r="31" spans="1:53" ht="15.75" x14ac:dyDescent="0.25">
      <c r="A31" s="5" t="s">
        <v>34</v>
      </c>
      <c r="B31" s="6">
        <f>('Vegetables 2013-14(Final)'!B30-'3rd Vegetables 2013-14'!B30)/'3rd Vegetables 2013-14'!B30*100</f>
        <v>-41.53846153846154</v>
      </c>
      <c r="C31" s="6">
        <f>('Vegetables 2013-14(Final)'!C30-'3rd Vegetables 2013-14'!C30)/'3rd Vegetables 2013-14'!C30*100</f>
        <v>-32.765957446808507</v>
      </c>
      <c r="D31" s="6">
        <f>('Vegetables 2013-14(Final)'!D30-'3rd Vegetables 2013-14'!D30)/'3rd Vegetables 2013-14'!D30*100</f>
        <v>-16.666666666666664</v>
      </c>
      <c r="E31" s="6">
        <f>('Vegetables 2013-14(Final)'!E30-'3rd Vegetables 2013-14'!E30)/'3rd Vegetables 2013-14'!E30*100</f>
        <v>-27.906976744186046</v>
      </c>
      <c r="F31" s="6">
        <f>('Vegetables 2013-14(Final)'!F30-'3rd Vegetables 2013-14'!F30)/'3rd Vegetables 2013-14'!F30*100</f>
        <v>-16.602316602316591</v>
      </c>
      <c r="G31" s="6">
        <f>('Vegetables 2013-14(Final)'!G30-'3rd Vegetables 2013-14'!G30)/'3rd Vegetables 2013-14'!G30*100</f>
        <v>-32.592928377153221</v>
      </c>
      <c r="H31" s="6">
        <f>('Vegetables 2013-14(Final)'!H30-'3rd Vegetables 2013-14'!H30)/'3rd Vegetables 2013-14'!H30*100</f>
        <v>-17.06586826347305</v>
      </c>
      <c r="I31" s="6">
        <f>('Vegetables 2013-14(Final)'!I30-'3rd Vegetables 2013-14'!I30)/'3rd Vegetables 2013-14'!I30*100</f>
        <v>-56.944186908956048</v>
      </c>
      <c r="J31" s="6">
        <f>('Vegetables 2013-14(Final)'!J30-'3rd Vegetables 2013-14'!J30)/'3rd Vegetables 2013-14'!J30*100</f>
        <v>-76.36363636363636</v>
      </c>
      <c r="K31" s="6">
        <f>('Vegetables 2013-14(Final)'!K30-'3rd Vegetables 2013-14'!K30)/'3rd Vegetables 2013-14'!K30*100</f>
        <v>-70.893970893970902</v>
      </c>
      <c r="L31" s="6"/>
      <c r="M31" s="6"/>
      <c r="N31" s="6">
        <f>('Vegetables 2013-14(Final)'!N30-'3rd Vegetables 2013-14'!N30)/'3rd Vegetables 2013-14'!N30*100</f>
        <v>-80.838323353293418</v>
      </c>
      <c r="O31" s="6">
        <f>('Vegetables 2013-14(Final)'!O30-'3rd Vegetables 2013-14'!O30)/'3rd Vegetables 2013-14'!O30*100</f>
        <v>-89.146853146853147</v>
      </c>
      <c r="P31" s="6">
        <f>('Vegetables 2013-14(Final)'!P30-'3rd Vegetables 2013-14'!P30)/'3rd Vegetables 2013-14'!P30*100</f>
        <v>26.783479349186489</v>
      </c>
      <c r="Q31" s="6">
        <f>('Vegetables 2013-14(Final)'!Q30-'3rd Vegetables 2013-14'!Q30)/'3rd Vegetables 2013-14'!Q30*100</f>
        <v>13.714285714285706</v>
      </c>
      <c r="R31" s="6">
        <f>('Vegetables 2013-14(Final)'!R30-'3rd Vegetables 2013-14'!R30)/'3rd Vegetables 2013-14'!R30*100</f>
        <v>-31.626506024096379</v>
      </c>
      <c r="S31" s="6">
        <f>('Vegetables 2013-14(Final)'!S30-'3rd Vegetables 2013-14'!S30)/'3rd Vegetables 2013-14'!S30*100</f>
        <v>-53.018976423231749</v>
      </c>
      <c r="T31" s="6"/>
      <c r="U31" s="6"/>
      <c r="V31" s="6"/>
      <c r="W31" s="6"/>
      <c r="X31" s="6">
        <f>('Vegetables 2013-14(Final)'!X30-'3rd Vegetables 2013-14'!T30)/'3rd Vegetables 2013-14'!T30*100</f>
        <v>-13.733905579399153</v>
      </c>
      <c r="Y31" s="6">
        <f>('Vegetables 2013-14(Final)'!Y30-'3rd Vegetables 2013-14'!U30)/'3rd Vegetables 2013-14'!U30*100</f>
        <v>-9.0637450199203045</v>
      </c>
      <c r="Z31" s="6">
        <f>('Vegetables 2013-14(Final)'!Z30-'3rd Vegetables 2013-14'!V30)/'3rd Vegetables 2013-14'!V30*100</f>
        <v>-12.416851441241677</v>
      </c>
      <c r="AA31" s="6">
        <f>('Vegetables 2013-14(Final)'!AA30-'3rd Vegetables 2013-14'!W30)/'3rd Vegetables 2013-14'!W30*100</f>
        <v>-23.264540337711072</v>
      </c>
      <c r="AB31" s="6">
        <f>('Vegetables 2013-14(Final)'!AB30-'3rd Vegetables 2013-14'!X30)/'3rd Vegetables 2013-14'!X30*100</f>
        <v>7.5425790754257926</v>
      </c>
      <c r="AC31" s="6">
        <f>('Vegetables 2013-14(Final)'!AC30-'3rd Vegetables 2013-14'!Y30)/'3rd Vegetables 2013-14'!Y30*100</f>
        <v>-29.614505226793934</v>
      </c>
      <c r="AD31" s="6"/>
      <c r="AE31" s="6"/>
      <c r="AF31" s="6">
        <f>('Vegetables 2013-14(Final)'!AF30-'3rd Vegetables 2013-14'!AB30)/'3rd Vegetables 2013-14'!AB30*100</f>
        <v>-14.087176247631083</v>
      </c>
      <c r="AG31" s="6">
        <f>('Vegetables 2013-14(Final)'!AG30-'3rd Vegetables 2013-14'!AC30)/'3rd Vegetables 2013-14'!AC30*100</f>
        <v>-19.866853538892776</v>
      </c>
      <c r="AH31" s="6">
        <f>('Vegetables 2013-14(Final)'!AH30-'3rd Vegetables 2013-14'!AD30)/'3rd Vegetables 2013-14'!AD30*100</f>
        <v>-17.66233766233767</v>
      </c>
      <c r="AI31" s="6">
        <f>('Vegetables 2013-14(Final)'!AI30-'3rd Vegetables 2013-14'!AE30)/'3rd Vegetables 2013-14'!AE30*100</f>
        <v>-35.163451079177868</v>
      </c>
      <c r="AJ31" s="6">
        <f>('Vegetables 2013-14(Final)'!AJ30-'3rd Vegetables 2013-14'!AF30)/'3rd Vegetables 2013-14'!AF30*100</f>
        <v>-71.844660194174764</v>
      </c>
      <c r="AK31" s="6">
        <f>('Vegetables 2013-14(Final)'!AK30-'3rd Vegetables 2013-14'!AG30)/'3rd Vegetables 2013-14'!AG30*100</f>
        <v>-70.636094674556205</v>
      </c>
      <c r="AL31" s="6">
        <f>('Vegetables 2013-14(Final)'!AL30-'3rd Vegetables 2013-14'!AH30)/'3rd Vegetables 2013-14'!AH30*100</f>
        <v>-19.23076923076923</v>
      </c>
      <c r="AM31" s="6">
        <f>('Vegetables 2013-14(Final)'!AM30-'3rd Vegetables 2013-14'!AI30)/'3rd Vegetables 2013-14'!AI30*100</f>
        <v>-32.941176470588232</v>
      </c>
      <c r="AN31" s="6">
        <f>('Vegetables 2013-14(Final)'!AN30-'3rd Vegetables 2013-14'!AJ30)/'3rd Vegetables 2013-14'!AJ30*100</f>
        <v>-29.670329670329672</v>
      </c>
      <c r="AO31" s="6">
        <f>('Vegetables 2013-14(Final)'!AO30-'3rd Vegetables 2013-14'!AK30)/'3rd Vegetables 2013-14'!AK30*100</f>
        <v>-58.663883089770351</v>
      </c>
      <c r="AP31" s="6"/>
      <c r="AQ31" s="6"/>
      <c r="AR31" s="6">
        <f>('Vegetables 2013-14(Final)'!AR30-'3rd Vegetables 2013-14'!AN30)/'3rd Vegetables 2013-14'!AN30*100</f>
        <v>-11.552346570397122</v>
      </c>
      <c r="AS31" s="6">
        <f>('Vegetables 2013-14(Final)'!AS30-'3rd Vegetables 2013-14'!AO30)/'3rd Vegetables 2013-14'!AO30*100</f>
        <v>-9.025150233696861</v>
      </c>
      <c r="AT31" s="6">
        <f>('Vegetables 2013-14(Final)'!AT30-'3rd Vegetables 2013-14'!AP30)/'3rd Vegetables 2013-14'!AP30*100</f>
        <v>-21.409921671018285</v>
      </c>
      <c r="AU31" s="6">
        <f>('Vegetables 2013-14(Final)'!AU30-'3rd Vegetables 2013-14'!AQ30)/'3rd Vegetables 2013-14'!AQ30*100</f>
        <v>-21.587030716723557</v>
      </c>
      <c r="AV31" s="6"/>
      <c r="AW31" s="6"/>
      <c r="AX31" s="6">
        <f>('Vegetables 2013-14(Final)'!AW30-'3rd Vegetables 2013-14'!AR30)/'3rd Vegetables 2013-14'!AR30*100</f>
        <v>-11.793916821849775</v>
      </c>
      <c r="AY31" s="6">
        <f>('Vegetables 2013-14(Final)'!AX30-'3rd Vegetables 2013-14'!AS30)/'3rd Vegetables 2013-14'!AS30*100</f>
        <v>-72.354240578351963</v>
      </c>
      <c r="AZ31" s="2">
        <f t="shared" si="0"/>
        <v>-469.77793547648025</v>
      </c>
      <c r="BA31" s="2">
        <f t="shared" si="1"/>
        <v>-731.73623519305715</v>
      </c>
    </row>
    <row r="32" spans="1:53" ht="15.75" x14ac:dyDescent="0.25">
      <c r="A32" s="5" t="s">
        <v>35</v>
      </c>
      <c r="B32" s="6">
        <f>('Vegetables 2013-14(Final)'!B31-'3rd Vegetables 2013-14'!B31)/'3rd Vegetables 2013-14'!B31*100</f>
        <v>0</v>
      </c>
      <c r="C32" s="6">
        <f>('Vegetables 2013-14(Final)'!C31-'3rd Vegetables 2013-14'!C31)/'3rd Vegetables 2013-14'!C31*100</f>
        <v>0</v>
      </c>
      <c r="D32" s="6">
        <f>('Vegetables 2013-14(Final)'!D31-'3rd Vegetables 2013-14'!D31)/'3rd Vegetables 2013-14'!D31*100</f>
        <v>0</v>
      </c>
      <c r="E32" s="6">
        <f>('Vegetables 2013-14(Final)'!E31-'3rd Vegetables 2013-14'!E31)/'3rd Vegetables 2013-14'!E31*100</f>
        <v>6.1111111111111036</v>
      </c>
      <c r="F32" s="6">
        <f>('Vegetables 2013-14(Final)'!F31-'3rd Vegetables 2013-14'!F31)/'3rd Vegetables 2013-14'!F31*100</f>
        <v>0</v>
      </c>
      <c r="G32" s="6">
        <f>('Vegetables 2013-14(Final)'!G31-'3rd Vegetables 2013-14'!G31)/'3rd Vegetables 2013-14'!G31*100</f>
        <v>0</v>
      </c>
      <c r="H32" s="6">
        <f>('Vegetables 2013-14(Final)'!H31-'3rd Vegetables 2013-14'!H31)/'3rd Vegetables 2013-14'!H31*100</f>
        <v>0</v>
      </c>
      <c r="I32" s="6">
        <f>('Vegetables 2013-14(Final)'!I31-'3rd Vegetables 2013-14'!I31)/'3rd Vegetables 2013-14'!I31*100</f>
        <v>0</v>
      </c>
      <c r="J32" s="6">
        <f>('Vegetables 2013-14(Final)'!J31-'3rd Vegetables 2013-14'!J31)/'3rd Vegetables 2013-14'!J31*100</f>
        <v>0</v>
      </c>
      <c r="K32" s="6">
        <f>('Vegetables 2013-14(Final)'!K31-'3rd Vegetables 2013-14'!K31)/'3rd Vegetables 2013-14'!K31*100</f>
        <v>0</v>
      </c>
      <c r="L32" s="6">
        <f>('Vegetables 2013-14(Final)'!L31-'3rd Vegetables 2013-14'!L31)/'3rd Vegetables 2013-14'!L31*100</f>
        <v>0</v>
      </c>
      <c r="M32" s="6">
        <f>('Vegetables 2013-14(Final)'!M31-'3rd Vegetables 2013-14'!M31)/'3rd Vegetables 2013-14'!M31*100</f>
        <v>0</v>
      </c>
      <c r="N32" s="6">
        <f>('Vegetables 2013-14(Final)'!N31-'3rd Vegetables 2013-14'!N31)/'3rd Vegetables 2013-14'!N31*100</f>
        <v>0</v>
      </c>
      <c r="O32" s="6">
        <f>('Vegetables 2013-14(Final)'!O31-'3rd Vegetables 2013-14'!O31)/'3rd Vegetables 2013-14'!O31*100</f>
        <v>3.9999999999999951</v>
      </c>
      <c r="P32" s="6">
        <f>('Vegetables 2013-14(Final)'!P31-'3rd Vegetables 2013-14'!P31)/'3rd Vegetables 2013-14'!P31*100</f>
        <v>0</v>
      </c>
      <c r="Q32" s="6">
        <f>('Vegetables 2013-14(Final)'!Q31-'3rd Vegetables 2013-14'!Q31)/'3rd Vegetables 2013-14'!Q31*100</f>
        <v>-1.6279069767441721</v>
      </c>
      <c r="R32" s="6">
        <f>('Vegetables 2013-14(Final)'!R31-'3rd Vegetables 2013-14'!R31)/'3rd Vegetables 2013-14'!R31*100</f>
        <v>0</v>
      </c>
      <c r="S32" s="6">
        <f>('Vegetables 2013-14(Final)'!S31-'3rd Vegetables 2013-14'!S31)/'3rd Vegetables 2013-14'!S31*100</f>
        <v>0</v>
      </c>
      <c r="T32" s="6"/>
      <c r="U32" s="6"/>
      <c r="V32" s="6"/>
      <c r="W32" s="6"/>
      <c r="X32" s="6"/>
      <c r="Y32" s="6"/>
      <c r="Z32" s="6">
        <f>('Vegetables 2013-14(Final)'!Z31-'3rd Vegetables 2013-14'!V31)/'3rd Vegetables 2013-14'!V31*100</f>
        <v>0</v>
      </c>
      <c r="AA32" s="6">
        <f>('Vegetables 2013-14(Final)'!AA31-'3rd Vegetables 2013-14'!W31)/'3rd Vegetables 2013-14'!W31*100</f>
        <v>0</v>
      </c>
      <c r="AB32" s="6">
        <f>('Vegetables 2013-14(Final)'!AB31-'3rd Vegetables 2013-14'!X31)/'3rd Vegetables 2013-14'!X31*100</f>
        <v>0</v>
      </c>
      <c r="AC32" s="6">
        <f>('Vegetables 2013-14(Final)'!AC31-'3rd Vegetables 2013-14'!Y31)/'3rd Vegetables 2013-14'!Y31*100</f>
        <v>0</v>
      </c>
      <c r="AD32" s="6"/>
      <c r="AE32" s="6"/>
      <c r="AF32" s="6">
        <f>('Vegetables 2013-14(Final)'!AF31-'3rd Vegetables 2013-14'!AB31)/'3rd Vegetables 2013-14'!AB31*100</f>
        <v>0</v>
      </c>
      <c r="AG32" s="6">
        <f>('Vegetables 2013-14(Final)'!AG31-'3rd Vegetables 2013-14'!AC31)/'3rd Vegetables 2013-14'!AC31*100</f>
        <v>0</v>
      </c>
      <c r="AH32" s="6">
        <f>('Vegetables 2013-14(Final)'!AH31-'3rd Vegetables 2013-14'!AD31)/'3rd Vegetables 2013-14'!AD31*100</f>
        <v>0</v>
      </c>
      <c r="AI32" s="6">
        <f>('Vegetables 2013-14(Final)'!AI31-'3rd Vegetables 2013-14'!AE31)/'3rd Vegetables 2013-14'!AE31*100</f>
        <v>0</v>
      </c>
      <c r="AJ32" s="6">
        <f>('Vegetables 2013-14(Final)'!AJ31-'3rd Vegetables 2013-14'!AF31)/'3rd Vegetables 2013-14'!AF31*100</f>
        <v>0</v>
      </c>
      <c r="AK32" s="6">
        <f>('Vegetables 2013-14(Final)'!AK31-'3rd Vegetables 2013-14'!AG31)/'3rd Vegetables 2013-14'!AG31*100</f>
        <v>0</v>
      </c>
      <c r="AL32" s="6"/>
      <c r="AM32" s="6"/>
      <c r="AN32" s="6"/>
      <c r="AO32" s="6"/>
      <c r="AP32" s="6"/>
      <c r="AQ32" s="6"/>
      <c r="AR32" s="6">
        <f>('Vegetables 2013-14(Final)'!AR31-'3rd Vegetables 2013-14'!AN31)/'3rd Vegetables 2013-14'!AN31*100</f>
        <v>0</v>
      </c>
      <c r="AS32" s="6">
        <f>('Vegetables 2013-14(Final)'!AS31-'3rd Vegetables 2013-14'!AO31)/'3rd Vegetables 2013-14'!AO31*100</f>
        <v>0</v>
      </c>
      <c r="AT32" s="6"/>
      <c r="AU32" s="6"/>
      <c r="AV32" s="6"/>
      <c r="AW32" s="6"/>
      <c r="AX32" s="6">
        <f>('Vegetables 2013-14(Final)'!AW31-'3rd Vegetables 2013-14'!AR31)/'3rd Vegetables 2013-14'!AR31*100</f>
        <v>0</v>
      </c>
      <c r="AY32" s="6">
        <f>('Vegetables 2013-14(Final)'!AX31-'3rd Vegetables 2013-14'!AS31)/'3rd Vegetables 2013-14'!AS31*100</f>
        <v>0</v>
      </c>
      <c r="AZ32" s="2">
        <f t="shared" si="0"/>
        <v>0</v>
      </c>
      <c r="BA32" s="2">
        <f t="shared" si="1"/>
        <v>8.4832041343669253</v>
      </c>
    </row>
    <row r="33" spans="1:53" ht="15.75" x14ac:dyDescent="0.25">
      <c r="A33" s="5" t="s">
        <v>36</v>
      </c>
      <c r="B33" s="6">
        <f>('Vegetables 2013-14(Final)'!B32-'3rd Vegetables 2013-14'!B32)/'3rd Vegetables 2013-14'!B32*100</f>
        <v>0</v>
      </c>
      <c r="C33" s="6">
        <f>('Vegetables 2013-14(Final)'!C32-'3rd Vegetables 2013-14'!C32)/'3rd Vegetables 2013-14'!C32*100</f>
        <v>0</v>
      </c>
      <c r="D33" s="6">
        <f>('Vegetables 2013-14(Final)'!D32-'3rd Vegetables 2013-14'!D32)/'3rd Vegetables 2013-14'!D32*100</f>
        <v>0</v>
      </c>
      <c r="E33" s="6">
        <f>('Vegetables 2013-14(Final)'!E32-'3rd Vegetables 2013-14'!E32)/'3rd Vegetables 2013-14'!E32*100</f>
        <v>0</v>
      </c>
      <c r="F33" s="6">
        <f>('Vegetables 2013-14(Final)'!F32-'3rd Vegetables 2013-14'!F32)/'3rd Vegetables 2013-14'!F32*100</f>
        <v>0</v>
      </c>
      <c r="G33" s="6">
        <f>('Vegetables 2013-14(Final)'!G32-'3rd Vegetables 2013-14'!G32)/'3rd Vegetables 2013-14'!G32*100</f>
        <v>0</v>
      </c>
      <c r="H33" s="6">
        <f>('Vegetables 2013-14(Final)'!H32-'3rd Vegetables 2013-14'!H32)/'3rd Vegetables 2013-14'!H32*100</f>
        <v>0</v>
      </c>
      <c r="I33" s="6">
        <f>('Vegetables 2013-14(Final)'!I32-'3rd Vegetables 2013-14'!I32)/'3rd Vegetables 2013-14'!I32*100</f>
        <v>0</v>
      </c>
      <c r="J33" s="6">
        <f>('Vegetables 2013-14(Final)'!J32-'3rd Vegetables 2013-14'!J32)/'3rd Vegetables 2013-14'!J32*100</f>
        <v>0</v>
      </c>
      <c r="K33" s="6">
        <f>('Vegetables 2013-14(Final)'!K32-'3rd Vegetables 2013-14'!K32)/'3rd Vegetables 2013-14'!K32*100</f>
        <v>0</v>
      </c>
      <c r="L33" s="6"/>
      <c r="M33" s="6"/>
      <c r="N33" s="6">
        <f>('Vegetables 2013-14(Final)'!N32-'3rd Vegetables 2013-14'!N32)/'3rd Vegetables 2013-14'!N32*100</f>
        <v>0</v>
      </c>
      <c r="O33" s="6">
        <f>('Vegetables 2013-14(Final)'!O32-'3rd Vegetables 2013-14'!O32)/'3rd Vegetables 2013-14'!O32*100</f>
        <v>0</v>
      </c>
      <c r="P33" s="6">
        <f>('Vegetables 2013-14(Final)'!P32-'3rd Vegetables 2013-14'!P32)/'3rd Vegetables 2013-14'!P32*100</f>
        <v>0</v>
      </c>
      <c r="Q33" s="6">
        <f>('Vegetables 2013-14(Final)'!Q32-'3rd Vegetables 2013-14'!Q32)/'3rd Vegetables 2013-14'!Q32*100</f>
        <v>0</v>
      </c>
      <c r="R33" s="6">
        <f>('Vegetables 2013-14(Final)'!R32-'3rd Vegetables 2013-14'!R32)/'3rd Vegetables 2013-14'!R32*100</f>
        <v>0</v>
      </c>
      <c r="S33" s="6">
        <f>('Vegetables 2013-14(Final)'!S32-'3rd Vegetables 2013-14'!S32)/'3rd Vegetables 2013-14'!S32*100</f>
        <v>0</v>
      </c>
      <c r="T33" s="6"/>
      <c r="U33" s="6"/>
      <c r="V33" s="6"/>
      <c r="W33" s="6"/>
      <c r="X33" s="6">
        <f>('Vegetables 2013-14(Final)'!X32-'3rd Vegetables 2013-14'!T32)/'3rd Vegetables 2013-14'!T32*100</f>
        <v>0</v>
      </c>
      <c r="Y33" s="6">
        <f>('Vegetables 2013-14(Final)'!Y32-'3rd Vegetables 2013-14'!U32)/'3rd Vegetables 2013-14'!U32*100</f>
        <v>0</v>
      </c>
      <c r="Z33" s="6">
        <f>('Vegetables 2013-14(Final)'!Z32-'3rd Vegetables 2013-14'!V32)/'3rd Vegetables 2013-14'!V32*100</f>
        <v>0</v>
      </c>
      <c r="AA33" s="6">
        <f>('Vegetables 2013-14(Final)'!AA32-'3rd Vegetables 2013-14'!W32)/'3rd Vegetables 2013-14'!W32*100</f>
        <v>0</v>
      </c>
      <c r="AB33" s="6">
        <f>('Vegetables 2013-14(Final)'!AB32-'3rd Vegetables 2013-14'!X32)/'3rd Vegetables 2013-14'!X32*100</f>
        <v>0</v>
      </c>
      <c r="AC33" s="6">
        <f>('Vegetables 2013-14(Final)'!AC32-'3rd Vegetables 2013-14'!Y32)/'3rd Vegetables 2013-14'!Y32*100</f>
        <v>0</v>
      </c>
      <c r="AD33" s="6"/>
      <c r="AE33" s="6"/>
      <c r="AF33" s="6"/>
      <c r="AG33" s="6"/>
      <c r="AH33" s="6">
        <f>('Vegetables 2013-14(Final)'!AH32-'3rd Vegetables 2013-14'!AD32)/'3rd Vegetables 2013-14'!AD32*100</f>
        <v>0</v>
      </c>
      <c r="AI33" s="6">
        <f>('Vegetables 2013-14(Final)'!AI32-'3rd Vegetables 2013-14'!AE32)/'3rd Vegetables 2013-14'!AE32*100</f>
        <v>0</v>
      </c>
      <c r="AJ33" s="6">
        <f>('Vegetables 2013-14(Final)'!AJ32-'3rd Vegetables 2013-14'!AF32)/'3rd Vegetables 2013-14'!AF32*100</f>
        <v>0</v>
      </c>
      <c r="AK33" s="6">
        <f>('Vegetables 2013-14(Final)'!AK32-'3rd Vegetables 2013-14'!AG32)/'3rd Vegetables 2013-14'!AG32*100</f>
        <v>0</v>
      </c>
      <c r="AL33" s="6">
        <f>('Vegetables 2013-14(Final)'!AL32-'3rd Vegetables 2013-14'!AH32)/'3rd Vegetables 2013-14'!AH32*100</f>
        <v>0</v>
      </c>
      <c r="AM33" s="6">
        <f>('Vegetables 2013-14(Final)'!AM32-'3rd Vegetables 2013-14'!AI32)/'3rd Vegetables 2013-14'!AI32*100</f>
        <v>0</v>
      </c>
      <c r="AN33" s="6">
        <f>('Vegetables 2013-14(Final)'!AN32-'3rd Vegetables 2013-14'!AJ32)/'3rd Vegetables 2013-14'!AJ32*100</f>
        <v>0</v>
      </c>
      <c r="AO33" s="6">
        <f>('Vegetables 2013-14(Final)'!AO32-'3rd Vegetables 2013-14'!AK32)/'3rd Vegetables 2013-14'!AK32*100</f>
        <v>0</v>
      </c>
      <c r="AP33" s="6">
        <f>('Vegetables 2013-14(Final)'!AP32-'3rd Vegetables 2013-14'!AL32)/'3rd Vegetables 2013-14'!AL32*100</f>
        <v>0</v>
      </c>
      <c r="AQ33" s="6">
        <f>('Vegetables 2013-14(Final)'!AQ32-'3rd Vegetables 2013-14'!AM32)/'3rd Vegetables 2013-14'!AM32*100</f>
        <v>0</v>
      </c>
      <c r="AR33" s="6">
        <f>('Vegetables 2013-14(Final)'!AR32-'3rd Vegetables 2013-14'!AN32)/'3rd Vegetables 2013-14'!AN32*100</f>
        <v>0</v>
      </c>
      <c r="AS33" s="6">
        <f>('Vegetables 2013-14(Final)'!AS32-'3rd Vegetables 2013-14'!AO32)/'3rd Vegetables 2013-14'!AO32*100</f>
        <v>0</v>
      </c>
      <c r="AT33" s="6">
        <f>('Vegetables 2013-14(Final)'!AT32-'3rd Vegetables 2013-14'!AP32)/'3rd Vegetables 2013-14'!AP32*100</f>
        <v>0</v>
      </c>
      <c r="AU33" s="6">
        <f>('Vegetables 2013-14(Final)'!AU32-'3rd Vegetables 2013-14'!AQ32)/'3rd Vegetables 2013-14'!AQ32*100</f>
        <v>0</v>
      </c>
      <c r="AV33" s="6"/>
      <c r="AW33" s="6"/>
      <c r="AX33" s="6">
        <f>('Vegetables 2013-14(Final)'!AW32-'3rd Vegetables 2013-14'!AR32)/'3rd Vegetables 2013-14'!AR32*100</f>
        <v>-3.2517482517482508</v>
      </c>
      <c r="AY33" s="6">
        <f>('Vegetables 2013-14(Final)'!AX32-'3rd Vegetables 2013-14'!AS32)/'3rd Vegetables 2013-14'!AS32*100</f>
        <v>-2.3184295229293528</v>
      </c>
      <c r="AZ33" s="2">
        <f t="shared" si="0"/>
        <v>-3.2517482517482508</v>
      </c>
      <c r="BA33" s="2">
        <f t="shared" si="1"/>
        <v>-2.3184295229293528</v>
      </c>
    </row>
    <row r="34" spans="1:53" ht="15.75" x14ac:dyDescent="0.25">
      <c r="A34" s="105" t="s">
        <v>241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8"/>
      <c r="AC34" s="8"/>
      <c r="AD34" s="6"/>
      <c r="AE34" s="6"/>
      <c r="AF34" s="6"/>
      <c r="AG34" s="6"/>
      <c r="AH34" s="8"/>
      <c r="AI34" s="8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2">
        <f t="shared" si="0"/>
        <v>0</v>
      </c>
      <c r="BA34" s="2">
        <f t="shared" si="1"/>
        <v>0</v>
      </c>
    </row>
    <row r="35" spans="1:53" ht="15.75" x14ac:dyDescent="0.25">
      <c r="A35" s="5" t="s">
        <v>37</v>
      </c>
      <c r="B35" s="6"/>
      <c r="C35" s="6"/>
      <c r="D35" s="6">
        <f>('Vegetables 2013-14(Final)'!D34-'3rd Vegetables 2013-14'!D35)/'3rd Vegetables 2013-14'!D35*100</f>
        <v>-72.521739130434781</v>
      </c>
      <c r="E35" s="6">
        <f>('Vegetables 2013-14(Final)'!E34-'3rd Vegetables 2013-14'!E35)/'3rd Vegetables 2013-14'!E35*100</f>
        <v>-90.273208410813893</v>
      </c>
      <c r="F35" s="6">
        <f>('Vegetables 2013-14(Final)'!F34-'3rd Vegetables 2013-14'!F35)/'3rd Vegetables 2013-14'!F35*100</f>
        <v>-73.71565113500597</v>
      </c>
      <c r="G35" s="6">
        <f>('Vegetables 2013-14(Final)'!G34-'3rd Vegetables 2013-14'!G35)/'3rd Vegetables 2013-14'!G35*100</f>
        <v>-82.092125629420636</v>
      </c>
      <c r="H35" s="6">
        <f>('Vegetables 2013-14(Final)'!H34-'3rd Vegetables 2013-14'!H35)/'3rd Vegetables 2013-14'!H35*100</f>
        <v>-0.45248868778280582</v>
      </c>
      <c r="I35" s="6">
        <f>('Vegetables 2013-14(Final)'!I34-'3rd Vegetables 2013-14'!I35)/'3rd Vegetables 2013-14'!I35*100</f>
        <v>-54.808552287416255</v>
      </c>
      <c r="J35" s="6">
        <f>('Vegetables 2013-14(Final)'!J34-'3rd Vegetables 2013-14'!J35)/'3rd Vegetables 2013-14'!J35*100</f>
        <v>56.913516312791288</v>
      </c>
      <c r="K35" s="6">
        <f>('Vegetables 2013-14(Final)'!K34-'3rd Vegetables 2013-14'!K35)/'3rd Vegetables 2013-14'!K35*100</f>
        <v>21.860879722128303</v>
      </c>
      <c r="L35" s="6"/>
      <c r="M35" s="6"/>
      <c r="N35" s="6">
        <f>('Vegetables 2013-14(Final)'!N34-'3rd Vegetables 2013-14'!N35)/'3rd Vegetables 2013-14'!N35*100</f>
        <v>-88.628979857050027</v>
      </c>
      <c r="O35" s="6">
        <f>('Vegetables 2013-14(Final)'!O34-'3rd Vegetables 2013-14'!O35)/'3rd Vegetables 2013-14'!O35*100</f>
        <v>-94.560290117860376</v>
      </c>
      <c r="P35" s="6">
        <f>('Vegetables 2013-14(Final)'!P34-'3rd Vegetables 2013-14'!P35)/'3rd Vegetables 2013-14'!P35*100</f>
        <v>-74.229917455204344</v>
      </c>
      <c r="Q35" s="6">
        <f>('Vegetables 2013-14(Final)'!Q34-'3rd Vegetables 2013-14'!Q35)/'3rd Vegetables 2013-14'!Q35*100</f>
        <v>-75.913232581826179</v>
      </c>
      <c r="R35" s="6"/>
      <c r="S35" s="6"/>
      <c r="T35" s="6"/>
      <c r="U35" s="6"/>
      <c r="V35" s="6"/>
      <c r="W35" s="6"/>
      <c r="X35" s="6">
        <f>('Vegetables 2013-14(Final)'!X34-'3rd Vegetables 2013-14'!T35)/'3rd Vegetables 2013-14'!T35*100</f>
        <v>-100</v>
      </c>
      <c r="Y35" s="6">
        <f>('Vegetables 2013-14(Final)'!Y34-'3rd Vegetables 2013-14'!U35)/'3rd Vegetables 2013-14'!U35*100</f>
        <v>-100</v>
      </c>
      <c r="Z35" s="6">
        <f>('Vegetables 2013-14(Final)'!Z34-'3rd Vegetables 2013-14'!V35)/'3rd Vegetables 2013-14'!V35*100</f>
        <v>-52.488687782805435</v>
      </c>
      <c r="AA35" s="6">
        <f>('Vegetables 2013-14(Final)'!AA34-'3rd Vegetables 2013-14'!W35)/'3rd Vegetables 2013-14'!W35*100</f>
        <v>-86.499940937241604</v>
      </c>
      <c r="AB35" s="6">
        <f>('Vegetables 2013-14(Final)'!AB34-'3rd Vegetables 2013-14'!X35)/'3rd Vegetables 2013-14'!X35*100</f>
        <v>-100</v>
      </c>
      <c r="AC35" s="6">
        <f>('Vegetables 2013-14(Final)'!AC34-'3rd Vegetables 2013-14'!Y35)/'3rd Vegetables 2013-14'!Y35*100</f>
        <v>-100</v>
      </c>
      <c r="AD35" s="6">
        <f>('Vegetables 2013-14(Final)'!AD34-'3rd Vegetables 2013-14'!Z35)/'3rd Vegetables 2013-14'!Z35*100</f>
        <v>-61.604095563139936</v>
      </c>
      <c r="AE35" s="6">
        <f>('Vegetables 2013-14(Final)'!AE34-'3rd Vegetables 2013-14'!AA35)/'3rd Vegetables 2013-14'!AA35*100</f>
        <v>-82.567773579903232</v>
      </c>
      <c r="AF35" s="6">
        <f>('Vegetables 2013-14(Final)'!AF34-'3rd Vegetables 2013-14'!AB35)/'3rd Vegetables 2013-14'!AB35*100</f>
        <v>-100</v>
      </c>
      <c r="AG35" s="6">
        <f>('Vegetables 2013-14(Final)'!AG34-'3rd Vegetables 2013-14'!AC35)/'3rd Vegetables 2013-14'!AC35*100</f>
        <v>-100</v>
      </c>
      <c r="AH35" s="6">
        <f>('Vegetables 2013-14(Final)'!AH34-'3rd Vegetables 2013-14'!AD35)/'3rd Vegetables 2013-14'!AD35*100</f>
        <v>-98.555712719334565</v>
      </c>
      <c r="AI35" s="6">
        <f>('Vegetables 2013-14(Final)'!AI34-'3rd Vegetables 2013-14'!AE35)/'3rd Vegetables 2013-14'!AE35*100</f>
        <v>-98.934185541388359</v>
      </c>
      <c r="AJ35" s="6">
        <f>('Vegetables 2013-14(Final)'!AJ34-'3rd Vegetables 2013-14'!AF35)/'3rd Vegetables 2013-14'!AF35*100</f>
        <v>4.6956521739130359</v>
      </c>
      <c r="AK35" s="6">
        <f>('Vegetables 2013-14(Final)'!AK34-'3rd Vegetables 2013-14'!AG35)/'3rd Vegetables 2013-14'!AG35*100</f>
        <v>-24.760406236589898</v>
      </c>
      <c r="AL35" s="6">
        <f>('Vegetables 2013-14(Final)'!AL34-'3rd Vegetables 2013-14'!AH35)/'3rd Vegetables 2013-14'!AH35*100</f>
        <v>-81.153496821071741</v>
      </c>
      <c r="AM35" s="6">
        <f>('Vegetables 2013-14(Final)'!AM34-'3rd Vegetables 2013-14'!AI35)/'3rd Vegetables 2013-14'!AI35*100</f>
        <v>-90.48161967938087</v>
      </c>
      <c r="AN35" s="6">
        <f>('Vegetables 2013-14(Final)'!AN34-'3rd Vegetables 2013-14'!AJ35)/'3rd Vegetables 2013-14'!AJ35*100</f>
        <v>-100</v>
      </c>
      <c r="AO35" s="6">
        <f>('Vegetables 2013-14(Final)'!AO34-'3rd Vegetables 2013-14'!AK35)/'3rd Vegetables 2013-14'!AK35*100</f>
        <v>-100</v>
      </c>
      <c r="AP35" s="6"/>
      <c r="AQ35" s="6"/>
      <c r="AR35" s="6">
        <f>('Vegetables 2013-14(Final)'!AR34-'3rd Vegetables 2013-14'!AN35)/'3rd Vegetables 2013-14'!AN35*100</f>
        <v>-80.799611131364685</v>
      </c>
      <c r="AS35" s="6">
        <f>('Vegetables 2013-14(Final)'!AS34-'3rd Vegetables 2013-14'!AO35)/'3rd Vegetables 2013-14'!AO35*100</f>
        <v>-88.787948482060713</v>
      </c>
      <c r="AT35" s="6">
        <f>('Vegetables 2013-14(Final)'!AT34-'3rd Vegetables 2013-14'!AP35)/'3rd Vegetables 2013-14'!AP35*100</f>
        <v>-91.503655404070344</v>
      </c>
      <c r="AU35" s="6">
        <f>('Vegetables 2013-14(Final)'!AU34-'3rd Vegetables 2013-14'!AQ35)/'3rd Vegetables 2013-14'!AQ35*100</f>
        <v>-95.132714219851138</v>
      </c>
      <c r="AV35" s="6"/>
      <c r="AW35" s="6"/>
      <c r="AX35" s="6">
        <f>('Vegetables 2013-14(Final)'!AW34-'3rd Vegetables 2013-14'!AR34)/'3rd Vegetables 2013-14'!AR34*100</f>
        <v>2.8387096774193514</v>
      </c>
      <c r="AY35" s="6"/>
      <c r="AZ35" s="2"/>
      <c r="BA35" s="2"/>
    </row>
    <row r="36" spans="1:53" ht="15.75" x14ac:dyDescent="0.25">
      <c r="A36" s="5" t="s">
        <v>38</v>
      </c>
      <c r="B36" s="6"/>
      <c r="C36" s="6"/>
      <c r="D36" s="6"/>
      <c r="E36" s="6"/>
      <c r="F36" s="6"/>
      <c r="G36" s="6"/>
      <c r="H36" s="6">
        <f>('Vegetables 2013-14(Final)'!H35-'3rd Vegetables 2013-14'!H36)/'3rd Vegetables 2013-14'!H36*100</f>
        <v>47.508591065292109</v>
      </c>
      <c r="I36" s="6">
        <f>('Vegetables 2013-14(Final)'!I35-'3rd Vegetables 2013-14'!I36)/'3rd Vegetables 2013-14'!I36*100</f>
        <v>311.86903137789909</v>
      </c>
      <c r="J36" s="6">
        <f>('Vegetables 2013-14(Final)'!J35-'3rd Vegetables 2013-14'!J36)/'3rd Vegetables 2013-14'!J36*100</f>
        <v>-67.135416666666671</v>
      </c>
      <c r="K36" s="6">
        <f>('Vegetables 2013-14(Final)'!K35-'3rd Vegetables 2013-14'!K36)/'3rd Vegetables 2013-14'!K36*100</f>
        <v>-15.777545806664278</v>
      </c>
      <c r="L36" s="6">
        <f>('Vegetables 2013-14(Final)'!L35-'3rd Vegetables 2013-14'!L36)/'3rd Vegetables 2013-14'!L36*100</f>
        <v>-100</v>
      </c>
      <c r="M36" s="6">
        <f>('Vegetables 2013-14(Final)'!M35-'3rd Vegetables 2013-14'!M36)/'3rd Vegetables 2013-14'!M36*100</f>
        <v>-100</v>
      </c>
      <c r="N36" s="6"/>
      <c r="O36" s="6"/>
      <c r="P36" s="6">
        <f>('Vegetables 2013-14(Final)'!P35-'3rd Vegetables 2013-14'!P36)/'3rd Vegetables 2013-14'!P36*100</f>
        <v>253.53901996370237</v>
      </c>
      <c r="Q36" s="6">
        <f>('Vegetables 2013-14(Final)'!Q35-'3rd Vegetables 2013-14'!Q36)/'3rd Vegetables 2013-14'!Q36*100</f>
        <v>459.31815706350079</v>
      </c>
      <c r="R36" s="6"/>
      <c r="S36" s="6"/>
      <c r="T36" s="6"/>
      <c r="U36" s="6"/>
      <c r="V36" s="6"/>
      <c r="W36" s="6"/>
      <c r="X36" s="6"/>
      <c r="Y36" s="6"/>
      <c r="Z36" s="6">
        <f>('Vegetables 2013-14(Final)'!Z35-'3rd Vegetables 2013-14'!V36)/'3rd Vegetables 2013-14'!V36*100</f>
        <v>264.78156792339917</v>
      </c>
      <c r="AA36" s="6">
        <f>('Vegetables 2013-14(Final)'!AA35-'3rd Vegetables 2013-14'!W36)/'3rd Vegetables 2013-14'!W36*100</f>
        <v>432.01975732846557</v>
      </c>
      <c r="AB36" s="6">
        <f>('Vegetables 2013-14(Final)'!AB35-'3rd Vegetables 2013-14'!X36)/'3rd Vegetables 2013-14'!X36*100</f>
        <v>535.54216867469881</v>
      </c>
      <c r="AC36" s="6">
        <f>('Vegetables 2013-14(Final)'!AC35-'3rd Vegetables 2013-14'!Y36)/'3rd Vegetables 2013-14'!Y36*100</f>
        <v>940.44464747982352</v>
      </c>
      <c r="AD36" s="6"/>
      <c r="AE36" s="6"/>
      <c r="AF36" s="6">
        <f>('Vegetables 2013-14(Final)'!AF35-'3rd Vegetables 2013-14'!AB36)/'3rd Vegetables 2013-14'!AB36*100</f>
        <v>1369.2875536480685</v>
      </c>
      <c r="AG36" s="6">
        <f>('Vegetables 2013-14(Final)'!AG35-'3rd Vegetables 2013-14'!AC36)/'3rd Vegetables 2013-14'!AC36*100</f>
        <v>2177.0207439198857</v>
      </c>
      <c r="AH36" s="6">
        <f>('Vegetables 2013-14(Final)'!AH35-'3rd Vegetables 2013-14'!AD36)/'3rd Vegetables 2013-14'!AD36*100</f>
        <v>2153.402555910543</v>
      </c>
      <c r="AI36" s="6">
        <f>('Vegetables 2013-14(Final)'!AI35-'3rd Vegetables 2013-14'!AE36)/'3rd Vegetables 2013-14'!AE36*100</f>
        <v>3078.4902081741261</v>
      </c>
      <c r="AJ36" s="6">
        <f>('Vegetables 2013-14(Final)'!AJ35-'3rd Vegetables 2013-14'!AF36)/'3rd Vegetables 2013-14'!AF36*100</f>
        <v>-39.549839228295824</v>
      </c>
      <c r="AK36" s="6">
        <f>('Vegetables 2013-14(Final)'!AK35-'3rd Vegetables 2013-14'!AG36)/'3rd Vegetables 2013-14'!AG36*100</f>
        <v>24.811033247817633</v>
      </c>
      <c r="AL36" s="6"/>
      <c r="AM36" s="6"/>
      <c r="AN36" s="6"/>
      <c r="AO36" s="6"/>
      <c r="AP36" s="6"/>
      <c r="AQ36" s="6"/>
      <c r="AR36" s="6">
        <f>('Vegetables 2013-14(Final)'!AR35-'3rd Vegetables 2013-14'!AN36)/'3rd Vegetables 2013-14'!AN36*100</f>
        <v>-8.2025028441410512</v>
      </c>
      <c r="AS36" s="6">
        <f>('Vegetables 2013-14(Final)'!AS35-'3rd Vegetables 2013-14'!AO36)/'3rd Vegetables 2013-14'!AO36*100</f>
        <v>219.86418319657335</v>
      </c>
      <c r="AT36" s="6"/>
      <c r="AU36" s="6"/>
      <c r="AV36" s="6"/>
      <c r="AW36" s="6"/>
      <c r="AX36" s="6"/>
      <c r="AY36" s="6">
        <f>('Vegetables 2013-14(Final)'!AX35-'3rd Vegetables 2013-14'!AS36)/'3rd Vegetables 2013-14'!AS36*100</f>
        <v>-100</v>
      </c>
      <c r="AZ36" s="2">
        <f t="shared" si="0"/>
        <v>4409.1736984465997</v>
      </c>
      <c r="BA36" s="2">
        <f t="shared" si="1"/>
        <v>7428.0602159814271</v>
      </c>
    </row>
    <row r="37" spans="1:53" ht="15.75" x14ac:dyDescent="0.25">
      <c r="A37" s="5" t="s">
        <v>90</v>
      </c>
      <c r="B37" s="6">
        <f>('Vegetables 2013-14(Final)'!B36-'3rd Vegetables 2013-14'!B36)/'3rd Vegetables 2013-14'!B36*100</f>
        <v>-3.7098255280073453</v>
      </c>
      <c r="C37" s="6">
        <f>('Vegetables 2013-14(Final)'!C36-'3rd Vegetables 2013-14'!C36)/'3rd Vegetables 2013-14'!C36*100</f>
        <v>-8.9334662347371054</v>
      </c>
      <c r="D37" s="6"/>
      <c r="E37" s="6"/>
      <c r="F37" s="6"/>
      <c r="G37" s="6"/>
      <c r="H37" s="6">
        <f>('Vegetables 2013-14(Final)'!H36-'3rd Vegetables 2013-14'!H37)/'3rd Vegetables 2013-14'!H37*100</f>
        <v>-98.511455108359129</v>
      </c>
      <c r="I37" s="6">
        <f>('Vegetables 2013-14(Final)'!I36-'3rd Vegetables 2013-14'!I37)/'3rd Vegetables 2013-14'!I37*100</f>
        <v>-99.138730265367826</v>
      </c>
      <c r="J37" s="6">
        <f>('Vegetables 2013-14(Final)'!J36-'3rd Vegetables 2013-14'!J37)/'3rd Vegetables 2013-14'!J37*100</f>
        <v>-92.074168797953973</v>
      </c>
      <c r="K37" s="6">
        <f>('Vegetables 2013-14(Final)'!K36-'3rd Vegetables 2013-14'!K37)/'3rd Vegetables 2013-14'!K37*100</f>
        <v>-96.667334122144354</v>
      </c>
      <c r="L37" s="6"/>
      <c r="M37" s="6"/>
      <c r="N37" s="6"/>
      <c r="O37" s="6"/>
      <c r="P37" s="6">
        <f>('Vegetables 2013-14(Final)'!P36-'3rd Vegetables 2013-14'!P37)/'3rd Vegetables 2013-14'!P37*100</f>
        <v>-96.28532608695653</v>
      </c>
      <c r="Q37" s="6">
        <f>('Vegetables 2013-14(Final)'!Q36-'3rd Vegetables 2013-14'!Q37)/'3rd Vegetables 2013-14'!Q37*100</f>
        <v>-98.062160723789248</v>
      </c>
      <c r="R37" s="6"/>
      <c r="S37" s="6"/>
      <c r="T37" s="6"/>
      <c r="U37" s="6"/>
      <c r="V37" s="6"/>
      <c r="W37" s="6"/>
      <c r="X37" s="6"/>
      <c r="Y37" s="6"/>
      <c r="Z37" s="6">
        <f>('Vegetables 2013-14(Final)'!Z36-'3rd Vegetables 2013-14'!V37)/'3rd Vegetables 2013-14'!V37*100</f>
        <v>-95.626666666666665</v>
      </c>
      <c r="AA37" s="6">
        <f>('Vegetables 2013-14(Final)'!AA36-'3rd Vegetables 2013-14'!W37)/'3rd Vegetables 2013-14'!W37*100</f>
        <v>-96.932383124287341</v>
      </c>
      <c r="AB37" s="6">
        <f>('Vegetables 2013-14(Final)'!AB36-'3rd Vegetables 2013-14'!X37)/'3rd Vegetables 2013-14'!X37*100</f>
        <v>-83.851063829787236</v>
      </c>
      <c r="AC37" s="6">
        <f>('Vegetables 2013-14(Final)'!AC36-'3rd Vegetables 2013-14'!Y37)/'3rd Vegetables 2013-14'!Y37*100</f>
        <v>-89.541198774974475</v>
      </c>
      <c r="AD37" s="6"/>
      <c r="AE37" s="6"/>
      <c r="AF37" s="6">
        <f>('Vegetables 2013-14(Final)'!AF36-'3rd Vegetables 2013-14'!AB37)/'3rd Vegetables 2013-14'!AB37*100</f>
        <v>-41.703196347031962</v>
      </c>
      <c r="AG37" s="6">
        <f>('Vegetables 2013-14(Final)'!AG36-'3rd Vegetables 2013-14'!AC37)/'3rd Vegetables 2013-14'!AC37*100</f>
        <v>-37.079400749063673</v>
      </c>
      <c r="AH37" s="6">
        <f>('Vegetables 2013-14(Final)'!AH36-'3rd Vegetables 2013-14'!AD37)/'3rd Vegetables 2013-14'!AD37*100</f>
        <v>-94.04626506024097</v>
      </c>
      <c r="AI37" s="6">
        <f>('Vegetables 2013-14(Final)'!AI36-'3rd Vegetables 2013-14'!AE37)/'3rd Vegetables 2013-14'!AE37*100</f>
        <v>-96.276172727272737</v>
      </c>
      <c r="AJ37" s="6">
        <f>('Vegetables 2013-14(Final)'!AJ36-'3rd Vegetables 2013-14'!AF37)/'3rd Vegetables 2013-14'!AF37*100</f>
        <v>-88.378378378378372</v>
      </c>
      <c r="AK37" s="6">
        <f>('Vegetables 2013-14(Final)'!AK36-'3rd Vegetables 2013-14'!AG37)/'3rd Vegetables 2013-14'!AG37*100</f>
        <v>-89.644734202607822</v>
      </c>
      <c r="AL37" s="6"/>
      <c r="AM37" s="6"/>
      <c r="AN37" s="6">
        <f>('Vegetables 2013-14(Final)'!AN36-'3rd Vegetables 2013-14'!AJ37)/'3rd Vegetables 2013-14'!AJ37*100</f>
        <v>-100</v>
      </c>
      <c r="AO37" s="6">
        <f>('Vegetables 2013-14(Final)'!AO36-'3rd Vegetables 2013-14'!AK37)/'3rd Vegetables 2013-14'!AK37*100</f>
        <v>-100</v>
      </c>
      <c r="AP37" s="6"/>
      <c r="AQ37" s="6"/>
      <c r="AR37" s="6">
        <f>('Vegetables 2013-14(Final)'!AR36-'3rd Vegetables 2013-14'!AN37)/'3rd Vegetables 2013-14'!AN37*100</f>
        <v>-83.936283185840708</v>
      </c>
      <c r="AS37" s="6">
        <f>('Vegetables 2013-14(Final)'!AS36-'3rd Vegetables 2013-14'!AO37)/'3rd Vegetables 2013-14'!AO37*100</f>
        <v>-90.043626806833117</v>
      </c>
      <c r="AT37" s="6">
        <f>('Vegetables 2013-14(Final)'!AT36-'3rd Vegetables 2013-14'!AP37)/'3rd Vegetables 2013-14'!AP37*100</f>
        <v>-100</v>
      </c>
      <c r="AU37" s="6">
        <f>('Vegetables 2013-14(Final)'!AU36-'3rd Vegetables 2013-14'!AQ37)/'3rd Vegetables 2013-14'!AQ37*100</f>
        <v>-100</v>
      </c>
      <c r="AV37" s="6"/>
      <c r="AW37" s="6"/>
      <c r="AX37" s="6">
        <f>('Vegetables 2013-14(Final)'!AW36-'3rd Vegetables 2013-14'!AR36)/'3rd Vegetables 2013-14'!AR36*100</f>
        <v>-9.975083056478395</v>
      </c>
      <c r="AY37" s="6">
        <f>('Vegetables 2013-14(Final)'!AX36-'3rd Vegetables 2013-14'!AS37)/'3rd Vegetables 2013-14'!AS37*100</f>
        <v>-96.72975378226046</v>
      </c>
      <c r="AZ37" s="2">
        <f t="shared" si="0"/>
        <v>-988.09771204570131</v>
      </c>
      <c r="BA37" s="2">
        <f t="shared" si="1"/>
        <v>-1099.0489615133383</v>
      </c>
    </row>
    <row r="38" spans="1:53" ht="15.75" x14ac:dyDescent="0.25">
      <c r="A38" s="5" t="s">
        <v>40</v>
      </c>
      <c r="B38" s="6">
        <f>('Vegetables 2013-14(Final)'!B37-'3rd Vegetables 2013-14'!B37)/'3rd Vegetables 2013-14'!B37*100</f>
        <v>0</v>
      </c>
      <c r="C38" s="6">
        <f>('Vegetables 2013-14(Final)'!C37-'3rd Vegetables 2013-14'!C37)/'3rd Vegetables 2013-14'!C37*100</f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>
        <f>('Vegetables 2013-14(Final)'!AW37-'3rd Vegetables 2013-14'!AR37)/'3rd Vegetables 2013-14'!AR37*100</f>
        <v>0</v>
      </c>
      <c r="AY38" s="6"/>
      <c r="AZ38" s="2"/>
      <c r="BA38" s="2"/>
    </row>
    <row r="39" spans="1:53" ht="15.7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8"/>
      <c r="AC39" s="8"/>
      <c r="AD39" s="6"/>
      <c r="AE39" s="6"/>
      <c r="AF39" s="6"/>
      <c r="AG39" s="6"/>
      <c r="AH39" s="8"/>
      <c r="AI39" s="8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2"/>
      <c r="BA39" s="2"/>
    </row>
    <row r="40" spans="1:53" s="117" customFormat="1" ht="15.75" x14ac:dyDescent="0.25">
      <c r="A40" s="5" t="s">
        <v>9</v>
      </c>
      <c r="B40" s="2">
        <f>('Vegetables 2013-14(Final)'!B39-'3rd Vegetables 2013-14'!B39)/'3rd Vegetables 2013-14'!B39*100</f>
        <v>15.942407714938438</v>
      </c>
      <c r="C40" s="2">
        <f>('Vegetables 2013-14(Final)'!C39-'3rd Vegetables 2013-14'!C39)/'3rd Vegetables 2013-14'!C39*100</f>
        <v>13.002688880583133</v>
      </c>
      <c r="D40" s="2">
        <f>('Vegetables 2013-14(Final)'!D39-'3rd Vegetables 2013-14'!D39)/'3rd Vegetables 2013-14'!D39*100</f>
        <v>-10.652274863802621</v>
      </c>
      <c r="E40" s="2">
        <f>('Vegetables 2013-14(Final)'!E39-'3rd Vegetables 2013-14'!E39)/'3rd Vegetables 2013-14'!E39*100</f>
        <v>-16.816993150963629</v>
      </c>
      <c r="F40" s="2">
        <f>('Vegetables 2013-14(Final)'!F39-'3rd Vegetables 2013-14'!F39)/'3rd Vegetables 2013-14'!F39*100</f>
        <v>-12.22065376373347</v>
      </c>
      <c r="G40" s="2">
        <f>('Vegetables 2013-14(Final)'!G39-'3rd Vegetables 2013-14'!G39)/'3rd Vegetables 2013-14'!G39*100</f>
        <v>-17.020811140594645</v>
      </c>
      <c r="H40" s="2">
        <f>('Vegetables 2013-14(Final)'!H39-'3rd Vegetables 2013-14'!H39)/'3rd Vegetables 2013-14'!H39*100</f>
        <v>-1.5361231888572022</v>
      </c>
      <c r="I40" s="2">
        <f>('Vegetables 2013-14(Final)'!I39-'3rd Vegetables 2013-14'!I39)/'3rd Vegetables 2013-14'!I39*100</f>
        <v>-2.0515762549888916</v>
      </c>
      <c r="J40" s="2">
        <f>('Vegetables 2013-14(Final)'!J39-'3rd Vegetables 2013-14'!J39)/'3rd Vegetables 2013-14'!J39*100</f>
        <v>-2.7755302373160031</v>
      </c>
      <c r="K40" s="2">
        <f>('Vegetables 2013-14(Final)'!K39-'3rd Vegetables 2013-14'!K39)/'3rd Vegetables 2013-14'!K39*100</f>
        <v>-0.76230793679198183</v>
      </c>
      <c r="L40" s="2">
        <f>('Vegetables 2013-14(Final)'!L39-'3rd Vegetables 2013-14'!L39)/'3rd Vegetables 2013-14'!L39*100</f>
        <v>2.8770253427503354</v>
      </c>
      <c r="M40" s="2">
        <f>('Vegetables 2013-14(Final)'!M39-'3rd Vegetables 2013-14'!M39)/'3rd Vegetables 2013-14'!M39*100</f>
        <v>7.0527706855185333</v>
      </c>
      <c r="N40" s="2">
        <f>('Vegetables 2013-14(Final)'!N39-'3rd Vegetables 2013-14'!N39)/'3rd Vegetables 2013-14'!N39*100</f>
        <v>-9.5609331980872412</v>
      </c>
      <c r="O40" s="2">
        <f>('Vegetables 2013-14(Final)'!O39-'3rd Vegetables 2013-14'!O39)/'3rd Vegetables 2013-14'!O39*100</f>
        <v>-9.7628578416088345</v>
      </c>
      <c r="P40" s="2">
        <f>('Vegetables 2013-14(Final)'!P39-'3rd Vegetables 2013-14'!P39)/'3rd Vegetables 2013-14'!P39*100</f>
        <v>0.36456417694314514</v>
      </c>
      <c r="Q40" s="2">
        <f>('Vegetables 2013-14(Final)'!Q39-'3rd Vegetables 2013-14'!Q39)/'3rd Vegetables 2013-14'!Q39*100</f>
        <v>-0.13269006241010423</v>
      </c>
      <c r="R40" s="2">
        <f>('Vegetables 2013-14(Final)'!R39-'3rd Vegetables 2013-14'!R39)/'3rd Vegetables 2013-14'!R39*100</f>
        <v>-2.859772385463184</v>
      </c>
      <c r="S40" s="2">
        <f>('Vegetables 2013-14(Final)'!S39-'3rd Vegetables 2013-14'!S39)/'3rd Vegetables 2013-14'!S39*100</f>
        <v>-1.6794978962418636</v>
      </c>
      <c r="T40" s="2">
        <f>SUM(T4:T39)</f>
        <v>0</v>
      </c>
      <c r="U40" s="2">
        <f>SUM(U4:U39)</f>
        <v>0</v>
      </c>
      <c r="V40" s="2">
        <f>SUM(V4:V39)</f>
        <v>0</v>
      </c>
      <c r="W40" s="2">
        <f>SUM(W4:W39)</f>
        <v>0</v>
      </c>
      <c r="X40" s="2">
        <f>('Vegetables 2013-14(Final)'!X39-'3rd Vegetables 2013-14'!X39)/'3rd Vegetables 2013-14'!X39*100</f>
        <v>-96.970792586337424</v>
      </c>
      <c r="Y40" s="2">
        <f>('Vegetables 2013-14(Final)'!Y39-'3rd Vegetables 2013-14'!Y39)/'3rd Vegetables 2013-14'!Y39*100</f>
        <v>-96.151441799894627</v>
      </c>
      <c r="Z40" s="2">
        <f>('Vegetables 2013-14(Final)'!Z39-'3rd Vegetables 2013-14'!Z39)/'3rd Vegetables 2013-14'!Z39*100</f>
        <v>3655.0934085301369</v>
      </c>
      <c r="AA40" s="2">
        <f>('Vegetables 2013-14(Final)'!AA39-'3rd Vegetables 2013-14'!AA39)/'3rd Vegetables 2013-14'!AA39*100</f>
        <v>2806.9775324645584</v>
      </c>
      <c r="AB40" s="2">
        <f>('Vegetables 2013-14(Final)'!AB39-'3rd Vegetables 2013-14'!AB39)/'3rd Vegetables 2013-14'!AB39*100</f>
        <v>174.49135746719853</v>
      </c>
      <c r="AC40" s="2">
        <f>('Vegetables 2013-14(Final)'!AC39-'3rd Vegetables 2013-14'!AC39)/'3rd Vegetables 2013-14'!AC39*100</f>
        <v>365.82703159651317</v>
      </c>
      <c r="AD40" s="2">
        <f>('Vegetables 2013-14(Final)'!AD39-'3rd Vegetables 2013-14'!AD39)/'3rd Vegetables 2013-14'!AD39*100</f>
        <v>-99.366133648774181</v>
      </c>
      <c r="AE40" s="2">
        <f>('Vegetables 2013-14(Final)'!AE39-'3rd Vegetables 2013-14'!AE39)/'3rd Vegetables 2013-14'!AE39*100</f>
        <v>-99.61753687845399</v>
      </c>
      <c r="AF40" s="2">
        <f>('Vegetables 2013-14(Final)'!AF39-'3rd Vegetables 2013-14'!AF39)/'3rd Vegetables 2013-14'!AF39*100</f>
        <v>144.53280542348409</v>
      </c>
      <c r="AG40" s="2">
        <f>('Vegetables 2013-14(Final)'!AG39-'3rd Vegetables 2013-14'!AG39)/'3rd Vegetables 2013-14'!AG39*100</f>
        <v>51.060252918014449</v>
      </c>
      <c r="AH40" s="2">
        <f>('Vegetables 2013-14(Final)'!AH39-'3rd Vegetables 2013-14'!AH39)/'3rd Vegetables 2013-14'!AH39*100</f>
        <v>13118.051312968919</v>
      </c>
      <c r="AI40" s="2">
        <f>('Vegetables 2013-14(Final)'!AI39-'3rd Vegetables 2013-14'!AI39)/'3rd Vegetables 2013-14'!AI39*100</f>
        <v>11566.077308980453</v>
      </c>
      <c r="AJ40" s="2">
        <f>('Vegetables 2013-14(Final)'!AJ39-'3rd Vegetables 2013-14'!AJ39)/'3rd Vegetables 2013-14'!AJ39*100</f>
        <v>58.015552496512946</v>
      </c>
      <c r="AK40" s="2">
        <f>('Vegetables 2013-14(Final)'!AK39-'3rd Vegetables 2013-14'!AK39)/'3rd Vegetables 2013-14'!AK39*100</f>
        <v>120.690586193605</v>
      </c>
      <c r="AL40" s="2">
        <f>('Vegetables 2013-14(Final)'!AL39-'3rd Vegetables 2013-14'!AL39)/'3rd Vegetables 2013-14'!AL39*100</f>
        <v>-90.840190056785261</v>
      </c>
      <c r="AM40" s="2">
        <f>('Vegetables 2013-14(Final)'!AM39-'3rd Vegetables 2013-14'!AM39)/'3rd Vegetables 2013-14'!AM39*100</f>
        <v>-94.650481772259582</v>
      </c>
      <c r="AN40" s="2">
        <f>('Vegetables 2013-14(Final)'!AN39-'3rd Vegetables 2013-14'!AN39)/'3rd Vegetables 2013-14'!AN39*100</f>
        <v>-88.370491284651592</v>
      </c>
      <c r="AO40" s="2">
        <f>('Vegetables 2013-14(Final)'!AO39-'3rd Vegetables 2013-14'!AO39)/'3rd Vegetables 2013-14'!AO39*100</f>
        <v>-94.331770222743259</v>
      </c>
      <c r="AP40" s="2">
        <f>('Vegetables 2013-14(Final)'!AP39-'3rd Vegetables 2013-14'!AP39)/'3rd Vegetables 2013-14'!AP39*100</f>
        <v>183.39126548650603</v>
      </c>
      <c r="AQ40" s="2">
        <f>('Vegetables 2013-14(Final)'!AQ39-'3rd Vegetables 2013-14'!AQ39)/'3rd Vegetables 2013-14'!AQ39*100</f>
        <v>345.56753465734931</v>
      </c>
      <c r="AR40" s="2">
        <f>('Vegetables 2013-14(Final)'!AR39-'3rd Vegetables 2013-14'!AR39)/'3rd Vegetables 2013-14'!AR39*100</f>
        <v>-50.283029795561873</v>
      </c>
      <c r="AS40" s="2">
        <f>('Vegetables 2013-14(Final)'!AS39-'3rd Vegetables 2013-14'!AS39)/'3rd Vegetables 2013-14'!AS39*100</f>
        <v>-13.79751291728093</v>
      </c>
      <c r="AT40" s="2">
        <f>('Vegetables 2013-14(Final)'!AT39-'3rd Vegetables 2013-14'!AT39)/'3rd Vegetables 2013-14'!AT39*100</f>
        <v>-99.219794924511149</v>
      </c>
      <c r="AU40" s="2">
        <f>('Vegetables 2013-14(Final)'!AU39-'3rd Vegetables 2013-14'!AU39)/'3rd Vegetables 2013-14'!AU39*100</f>
        <v>-98.923634514784069</v>
      </c>
      <c r="AV40" s="2"/>
      <c r="AW40" s="2"/>
      <c r="AX40" s="2">
        <f>('Vegetables 2013-14(Final)'!AW39-'3rd Vegetables 2013-14'!AR39)/'3rd Vegetables 2013-14'!AR39*100</f>
        <v>-11.258963314772823</v>
      </c>
      <c r="AY40" s="2">
        <f>('Vegetables 2013-14(Final)'!AX39-'3rd Vegetables 2013-14'!AS39)/'3rd Vegetables 2013-14'!AS39*100</f>
        <v>-12.08483477072417</v>
      </c>
      <c r="AZ40" s="2">
        <f>('Vegetables 2013-14(Final)'!AY39-'3rd Vegetables 2013-14'!AT39)/'3rd Vegetables 2013-14'!AT39*100</f>
        <v>-1.7891388855969828</v>
      </c>
      <c r="BA40" s="2">
        <f>('Vegetables 2013-14(Final)'!AZ39-'3rd Vegetables 2013-14'!AU39)/'3rd Vegetables 2013-14'!AU39*100</f>
        <v>-3.1196515823941913</v>
      </c>
    </row>
  </sheetData>
  <mergeCells count="52">
    <mergeCell ref="AL2:AM2"/>
    <mergeCell ref="AN2:AO2"/>
    <mergeCell ref="AZ2:BA2"/>
    <mergeCell ref="AR2:AS2"/>
    <mergeCell ref="AT2:AU2"/>
    <mergeCell ref="AV1:AW1"/>
    <mergeCell ref="AV2:AW2"/>
    <mergeCell ref="AX2:AY2"/>
    <mergeCell ref="AZ1:BA1"/>
    <mergeCell ref="AP2:AQ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T1:U1"/>
    <mergeCell ref="V1:W1"/>
    <mergeCell ref="B2:C2"/>
    <mergeCell ref="D2:E2"/>
    <mergeCell ref="F2:G2"/>
    <mergeCell ref="H2:I2"/>
    <mergeCell ref="J2:K2"/>
    <mergeCell ref="Z1:AA1"/>
    <mergeCell ref="AB1:AC1"/>
    <mergeCell ref="AD1:AE1"/>
    <mergeCell ref="AF1:AG1"/>
    <mergeCell ref="AH1:AI1"/>
    <mergeCell ref="AJ1:AK1"/>
    <mergeCell ref="AN1:AO1"/>
    <mergeCell ref="AP1:AQ1"/>
    <mergeCell ref="AR1:AS1"/>
    <mergeCell ref="AT1:AU1"/>
    <mergeCell ref="AX1:AY1"/>
    <mergeCell ref="L2:M2"/>
    <mergeCell ref="N2:O2"/>
    <mergeCell ref="P2:Q2"/>
    <mergeCell ref="R2:S2"/>
    <mergeCell ref="AL1:AM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</mergeCells>
  <pageMargins left="0.7" right="0.7" top="0.75" bottom="0.75" header="0.3" footer="0.3"/>
  <pageSetup orientation="portrait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workbookViewId="0">
      <selection activeCell="M42" sqref="M42"/>
    </sheetView>
  </sheetViews>
  <sheetFormatPr defaultRowHeight="12.75" x14ac:dyDescent="0.2"/>
  <cols>
    <col min="1" max="1" width="25.5703125" style="109" customWidth="1"/>
    <col min="2" max="2" width="11.28515625" style="109" customWidth="1"/>
    <col min="3" max="3" width="10.28515625" style="109" customWidth="1"/>
    <col min="4" max="4" width="13" style="109" customWidth="1"/>
    <col min="5" max="5" width="14.7109375" style="109" customWidth="1"/>
    <col min="6" max="9" width="10.28515625" style="109" customWidth="1"/>
    <col min="10" max="10" width="12.28515625" style="109" customWidth="1"/>
    <col min="11" max="11" width="12.42578125" style="109" customWidth="1"/>
    <col min="12" max="16384" width="9.140625" style="109"/>
  </cols>
  <sheetData>
    <row r="1" spans="1:11" ht="15.75" x14ac:dyDescent="0.25">
      <c r="A1" s="108" t="s">
        <v>202</v>
      </c>
      <c r="B1" s="317" t="s">
        <v>122</v>
      </c>
      <c r="C1" s="317"/>
      <c r="D1" s="318" t="s">
        <v>123</v>
      </c>
      <c r="E1" s="318"/>
      <c r="F1" s="318" t="s">
        <v>124</v>
      </c>
      <c r="G1" s="318"/>
      <c r="H1" s="318" t="s">
        <v>125</v>
      </c>
      <c r="I1" s="318"/>
      <c r="J1" s="318" t="s">
        <v>9</v>
      </c>
      <c r="K1" s="318"/>
    </row>
    <row r="2" spans="1:11" ht="15.75" x14ac:dyDescent="0.25">
      <c r="A2" s="110"/>
      <c r="B2" s="108" t="s">
        <v>48</v>
      </c>
      <c r="C2" s="108" t="s">
        <v>10</v>
      </c>
      <c r="D2" s="108" t="s">
        <v>48</v>
      </c>
      <c r="E2" s="108" t="s">
        <v>10</v>
      </c>
      <c r="F2" s="108" t="s">
        <v>48</v>
      </c>
      <c r="G2" s="108" t="s">
        <v>10</v>
      </c>
      <c r="H2" s="108" t="s">
        <v>48</v>
      </c>
      <c r="I2" s="108" t="s">
        <v>10</v>
      </c>
      <c r="J2" s="108" t="s">
        <v>48</v>
      </c>
      <c r="K2" s="108" t="s">
        <v>10</v>
      </c>
    </row>
    <row r="3" spans="1:11" ht="15.75" x14ac:dyDescent="0.25">
      <c r="A3" s="111" t="s">
        <v>11</v>
      </c>
      <c r="B3" s="112">
        <f>(' Plantations 2013-14(Final)'!B3-'3rd Plantations 2013-14'!B3)/'3rd Plantations 2013-14'!B3*100</f>
        <v>0</v>
      </c>
      <c r="C3" s="112">
        <f>(' Plantations 2013-14(Final)'!C3-'3rd Plantations 2013-14'!C3)/'3rd Plantations 2013-14'!C3*100</f>
        <v>0</v>
      </c>
      <c r="D3" s="112">
        <f>(' Plantations 2013-14(Final)'!D3-'3rd Plantations 2013-14'!D3)/'3rd Plantations 2013-14'!D3*100</f>
        <v>0</v>
      </c>
      <c r="E3" s="112">
        <f>(' Plantations 2013-14(Final)'!E3-'3rd Plantations 2013-14'!E3)/'3rd Plantations 2013-14'!E3*100</f>
        <v>0</v>
      </c>
      <c r="F3" s="112"/>
      <c r="G3" s="112"/>
      <c r="H3" s="112">
        <f>(' Plantations 2013-14(Final)'!H3-'3rd Plantations 2013-14'!H3)/'3rd Plantations 2013-14'!H3*100</f>
        <v>0</v>
      </c>
      <c r="I3" s="112">
        <f>(' Plantations 2013-14(Final)'!I3-'3rd Plantations 2013-14'!I3)/'3rd Plantations 2013-14'!I3*100</f>
        <v>0</v>
      </c>
      <c r="J3" s="112">
        <f>(' Plantations 2013-14(Final)'!J3-'3rd Plantations 2013-14'!J3)/'3rd Plantations 2013-14'!J3*100</f>
        <v>0</v>
      </c>
      <c r="K3" s="112">
        <f>(' Plantations 2013-14(Final)'!K3-'3rd Plantations 2013-14'!K3)/'3rd Plantations 2013-14'!K3*100</f>
        <v>0</v>
      </c>
    </row>
    <row r="4" spans="1:11" ht="15.75" x14ac:dyDescent="0.25">
      <c r="A4" s="111" t="s">
        <v>12</v>
      </c>
      <c r="B4" s="112">
        <f>(' Plantations 2013-14(Final)'!B4-'3rd Plantations 2013-14'!B4)/'3rd Plantations 2013-14'!B4*100</f>
        <v>-17.241379310344826</v>
      </c>
      <c r="C4" s="112">
        <f>(' Plantations 2013-14(Final)'!C4-'3rd Plantations 2013-14'!C4)/'3rd Plantations 2013-14'!C4*100</f>
        <v>-27.777777777777775</v>
      </c>
      <c r="D4" s="112">
        <f>(' Plantations 2013-14(Final)'!D4-'3rd Plantations 2013-14'!D4)/'3rd Plantations 2013-14'!D4*100</f>
        <v>0</v>
      </c>
      <c r="E4" s="112">
        <f>(' Plantations 2013-14(Final)'!E4-'3rd Plantations 2013-14'!E4)/'3rd Plantations 2013-14'!E4*100</f>
        <v>0</v>
      </c>
      <c r="F4" s="112">
        <f>(' Plantations 2013-14(Final)'!F4-'3rd Plantations 2013-14'!F4)/'3rd Plantations 2013-14'!F4*100</f>
        <v>0.13507429085996209</v>
      </c>
      <c r="G4" s="112">
        <f>(' Plantations 2013-14(Final)'!G4-'3rd Plantations 2013-14'!G4)/'3rd Plantations 2013-14'!G4*100</f>
        <v>0</v>
      </c>
      <c r="H4" s="112">
        <f>(' Plantations 2013-14(Final)'!H4-'3rd Plantations 2013-14'!H4)/'3rd Plantations 2013-14'!H4*100</f>
        <v>-8.6271247414335797</v>
      </c>
      <c r="I4" s="112" t="e">
        <f>(' Plantations 2013-14(Final)'!#REF!-'3rd Plantations 2013-14'!I4)/'3rd Plantations 2013-14'!I4*100</f>
        <v>#REF!</v>
      </c>
      <c r="J4" s="112">
        <f>(' Plantations 2013-14(Final)'!J4-'3rd Plantations 2013-14'!J4)/'3rd Plantations 2013-14'!J4*100</f>
        <v>-3.3945153121043057</v>
      </c>
      <c r="K4" s="112">
        <f>(' Plantations 2013-14(Final)'!K4-'3rd Plantations 2013-14'!K4)/'3rd Plantations 2013-14'!K4*100</f>
        <v>-8.0138803607898392</v>
      </c>
    </row>
    <row r="5" spans="1:11" ht="15.75" x14ac:dyDescent="0.25">
      <c r="A5" s="114" t="s">
        <v>13</v>
      </c>
      <c r="B5" s="112"/>
      <c r="C5" s="112"/>
      <c r="D5" s="112">
        <f>(' Plantations 2013-14(Final)'!D5-'3rd Plantations 2013-14'!D5)/'3rd Plantations 2013-14'!D5*100</f>
        <v>0</v>
      </c>
      <c r="E5" s="112">
        <f>(' Plantations 2013-14(Final)'!E5-'3rd Plantations 2013-14'!E5)/'3rd Plantations 2013-14'!E5*100</f>
        <v>0</v>
      </c>
      <c r="F5" s="112"/>
      <c r="G5" s="112"/>
      <c r="H5" s="112"/>
      <c r="I5" s="112"/>
      <c r="J5" s="112">
        <f>(' Plantations 2013-14(Final)'!J5-'3rd Plantations 2013-14'!J5)/'3rd Plantations 2013-14'!J5*100</f>
        <v>0</v>
      </c>
      <c r="K5" s="112">
        <f>(' Plantations 2013-14(Final)'!K5-'3rd Plantations 2013-14'!K5)/'3rd Plantations 2013-14'!K5*100</f>
        <v>0</v>
      </c>
    </row>
    <row r="6" spans="1:11" ht="15.75" x14ac:dyDescent="0.25">
      <c r="A6" s="111" t="s">
        <v>14</v>
      </c>
      <c r="B6" s="112">
        <f>(' Plantations 2013-14(Final)'!B6-'3rd Plantations 2013-14'!B6)/'3rd Plantations 2013-14'!B6*100</f>
        <v>2.0117239541699852</v>
      </c>
      <c r="C6" s="112">
        <f>(' Plantations 2013-14(Final)'!C6-'3rd Plantations 2013-14'!C6)/'3rd Plantations 2013-14'!C6*100</f>
        <v>2.0115734362083328</v>
      </c>
      <c r="D6" s="112"/>
      <c r="E6" s="112"/>
      <c r="F6" s="112"/>
      <c r="G6" s="112"/>
      <c r="H6" s="112">
        <f>(' Plantations 2013-14(Final)'!H6-'3rd Plantations 2013-14'!H6)/'3rd Plantations 2013-14'!H6*100</f>
        <v>-9.5731843575418978</v>
      </c>
      <c r="I6" s="112">
        <f>(' Plantations 2013-14(Final)'!I6-'3rd Plantations 2013-14'!I6)/'3rd Plantations 2013-14'!I6*100</f>
        <v>-15.571120689655176</v>
      </c>
      <c r="J6" s="112">
        <f>(' Plantations 2013-14(Final)'!J6-'3rd Plantations 2013-14'!J6)/'3rd Plantations 2013-14'!J6*100</f>
        <v>0.37768768922871143</v>
      </c>
      <c r="K6" s="112">
        <f>(' Plantations 2013-14(Final)'!K6-'3rd Plantations 2013-14'!K6)/'3rd Plantations 2013-14'!K6*100</f>
        <v>-5.0994889637925391</v>
      </c>
    </row>
    <row r="7" spans="1:11" ht="15.75" x14ac:dyDescent="0.25">
      <c r="A7" s="111" t="s">
        <v>15</v>
      </c>
      <c r="B7" s="112"/>
      <c r="C7" s="112"/>
      <c r="D7" s="112"/>
      <c r="E7" s="112"/>
      <c r="F7" s="112"/>
      <c r="G7" s="112"/>
      <c r="H7" s="112">
        <f>(' Plantations 2013-14(Final)'!H7-'3rd Plantations 2013-14'!H7)/'3rd Plantations 2013-14'!H7*100</f>
        <v>-0.11138046255650567</v>
      </c>
      <c r="I7" s="112">
        <f>(' Plantations 2013-14(Final)'!I7-'3rd Plantations 2013-14'!I7)/'3rd Plantations 2013-14'!I7*100</f>
        <v>0.4188762561129023</v>
      </c>
      <c r="J7" s="112">
        <f>(' Plantations 2013-14(Final)'!J7-'3rd Plantations 2013-14'!J7)/'3rd Plantations 2013-14'!J7*100</f>
        <v>-0.11138046255650567</v>
      </c>
      <c r="K7" s="112">
        <f>(' Plantations 2013-14(Final)'!K7-'3rd Plantations 2013-14'!K7)/'3rd Plantations 2013-14'!K7*100</f>
        <v>0.4188762561129023</v>
      </c>
    </row>
    <row r="8" spans="1:11" ht="15.75" x14ac:dyDescent="0.25">
      <c r="A8" s="111" t="s">
        <v>55</v>
      </c>
      <c r="B8" s="112"/>
      <c r="C8" s="112"/>
      <c r="D8" s="112">
        <f>(' Plantations 2013-14(Final)'!D8-'3rd Plantations 2013-14'!D8)/'3rd Plantations 2013-14'!D8*100</f>
        <v>-20</v>
      </c>
      <c r="E8" s="112">
        <f>(' Plantations 2013-14(Final)'!E8-'3rd Plantations 2013-14'!E8)/'3rd Plantations 2013-14'!E8*100</f>
        <v>-15.621986499517835</v>
      </c>
      <c r="F8" s="112"/>
      <c r="G8" s="112"/>
      <c r="H8" s="112">
        <f>(' Plantations 2013-14(Final)'!H8-'3rd Plantations 2013-14'!H8)/'3rd Plantations 2013-14'!H8*100</f>
        <v>0</v>
      </c>
      <c r="I8" s="112">
        <f>(' Plantations 2013-14(Final)'!I8-'3rd Plantations 2013-14'!I8)/'3rd Plantations 2013-14'!I8*100</f>
        <v>0</v>
      </c>
      <c r="J8" s="112">
        <f>(' Plantations 2013-14(Final)'!J8-'3rd Plantations 2013-14'!J8)/'3rd Plantations 2013-14'!J8*100</f>
        <v>-18.358531317494602</v>
      </c>
      <c r="K8" s="112">
        <f>(' Plantations 2013-14(Final)'!K8-'3rd Plantations 2013-14'!K8)/'3rd Plantations 2013-14'!K8*100</f>
        <v>-6.3330727130570672</v>
      </c>
    </row>
    <row r="9" spans="1:11" ht="15.75" x14ac:dyDescent="0.25">
      <c r="A9" s="111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15.75" x14ac:dyDescent="0.25">
      <c r="A10" s="111" t="s">
        <v>17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11" ht="15.75" x14ac:dyDescent="0.25">
      <c r="A11" s="111" t="s">
        <v>18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ht="15.75" x14ac:dyDescent="0.25">
      <c r="A12" s="111" t="s">
        <v>19</v>
      </c>
      <c r="B12" s="112">
        <f>(' Plantations 2013-14(Final)'!B12-'3rd Plantations 2013-14'!B12)/'3rd Plantations 2013-14'!B12*100</f>
        <v>0.57803468208092534</v>
      </c>
      <c r="C12" s="112">
        <f>(' Plantations 2013-14(Final)'!C12-'3rd Plantations 2013-14'!C12)/'3rd Plantations 2013-14'!C12*100</f>
        <v>1.0452961672473799</v>
      </c>
      <c r="D12" s="112">
        <f>(' Plantations 2013-14(Final)'!D12-'3rd Plantations 2013-14'!D12)/'3rd Plantations 2013-14'!D12*100</f>
        <v>0</v>
      </c>
      <c r="E12" s="112">
        <f>(' Plantations 2013-14(Final)'!E12-'3rd Plantations 2013-14'!E12)/'3rd Plantations 2013-14'!E12*100</f>
        <v>0</v>
      </c>
      <c r="F12" s="112"/>
      <c r="G12" s="112"/>
      <c r="H12" s="112">
        <f>(' Plantations 2013-14(Final)'!H12-'3rd Plantations 2013-14'!H12)/'3rd Plantations 2013-14'!H12*100</f>
        <v>0</v>
      </c>
      <c r="I12" s="112">
        <f>(' Plantations 2013-14(Final)'!I12-'3rd Plantations 2013-14'!I12)/'3rd Plantations 2013-14'!I12*100</f>
        <v>0</v>
      </c>
      <c r="J12" s="112">
        <f>(' Plantations 2013-14(Final)'!J12-'3rd Plantations 2013-14'!J12)/'3rd Plantations 2013-14'!J12*100</f>
        <v>1.1702750146306996E-2</v>
      </c>
      <c r="K12" s="112">
        <f>(' Plantations 2013-14(Final)'!K12-'3rd Plantations 2013-14'!K12)/'3rd Plantations 2013-14'!K12*100</f>
        <v>2.4311183144247274E-2</v>
      </c>
    </row>
    <row r="13" spans="1:11" ht="15.75" x14ac:dyDescent="0.25">
      <c r="A13" s="111" t="s">
        <v>20</v>
      </c>
      <c r="B13" s="112"/>
      <c r="C13" s="112"/>
      <c r="D13" s="112">
        <f>(' Plantations 2013-14(Final)'!D13-'3rd Plantations 2013-14'!D13)/'3rd Plantations 2013-14'!D13*100</f>
        <v>0</v>
      </c>
      <c r="E13" s="112">
        <f>(' Plantations 2013-14(Final)'!E13-'3rd Plantations 2013-14'!E13)/'3rd Plantations 2013-14'!E13*100</f>
        <v>0</v>
      </c>
      <c r="F13" s="112"/>
      <c r="G13" s="112"/>
      <c r="H13" s="112">
        <f>(' Plantations 2013-14(Final)'!H13-'3rd Plantations 2013-14'!H13)/'3rd Plantations 2013-14'!H13*100</f>
        <v>49.763257575757564</v>
      </c>
      <c r="I13" s="112">
        <f>(' Plantations 2013-14(Final)'!I13-'3rd Plantations 2013-14'!I13)/'3rd Plantations 2013-14'!I13*100</f>
        <v>-8.4865693167477847</v>
      </c>
      <c r="J13" s="112">
        <f>(' Plantations 2013-14(Final)'!J13-'3rd Plantations 2013-14'!J13)/'3rd Plantations 2013-14'!J13*100</f>
        <v>36.12925403918873</v>
      </c>
      <c r="K13" s="112">
        <f>(' Plantations 2013-14(Final)'!K13-'3rd Plantations 2013-14'!K13)/'3rd Plantations 2013-14'!K13*100</f>
        <v>-7.6420454545454488</v>
      </c>
    </row>
    <row r="14" spans="1:11" ht="15.75" x14ac:dyDescent="0.25">
      <c r="A14" s="111" t="s">
        <v>21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5.75" x14ac:dyDescent="0.25">
      <c r="A15" s="111" t="s">
        <v>22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15.75" x14ac:dyDescent="0.25">
      <c r="A16" s="111" t="s">
        <v>23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ht="15.75" x14ac:dyDescent="0.25">
      <c r="A17" s="111" t="s">
        <v>24</v>
      </c>
      <c r="B17" s="112"/>
      <c r="C17" s="112"/>
      <c r="D17" s="112">
        <f>(' Plantations 2013-14(Final)'!D17-'3rd Plantations 2013-14'!D17)/'3rd Plantations 2013-14'!D17*100</f>
        <v>-7.8333333333333384</v>
      </c>
      <c r="E17" s="112">
        <f>(' Plantations 2013-14(Final)'!E17-'3rd Plantations 2013-14'!E17)/'3rd Plantations 2013-14'!E17*100</f>
        <v>283.33333333333331</v>
      </c>
      <c r="F17" s="112"/>
      <c r="G17" s="112"/>
      <c r="H17" s="112"/>
      <c r="I17" s="112"/>
      <c r="J17" s="112">
        <f>(' Plantations 2013-14(Final)'!J17-'3rd Plantations 2013-14'!J17)/'3rd Plantations 2013-14'!J17*100</f>
        <v>-7.8333333333333384</v>
      </c>
      <c r="K17" s="112">
        <f>(' Plantations 2013-14(Final)'!K17-'3rd Plantations 2013-14'!K17)/'3rd Plantations 2013-14'!K17*100</f>
        <v>283.33333333333331</v>
      </c>
    </row>
    <row r="18" spans="1:11" ht="15.75" x14ac:dyDescent="0.25">
      <c r="A18" s="111" t="s">
        <v>161</v>
      </c>
      <c r="B18" s="112">
        <f>(' Plantations 2013-14(Final)'!B18-'3rd Plantations 2013-14'!B18)/'3rd Plantations 2013-14'!B18*100</f>
        <v>-1.7572390116095289</v>
      </c>
      <c r="C18" s="112">
        <f>(' Plantations 2013-14(Final)'!C18-'3rd Plantations 2013-14'!C18)/'3rd Plantations 2013-14'!C18*100</f>
        <v>-2.7439279440060322</v>
      </c>
      <c r="D18" s="112">
        <f>(' Plantations 2013-14(Final)'!D18-'3rd Plantations 2013-14'!D18)/'3rd Plantations 2013-14'!D18*100</f>
        <v>0</v>
      </c>
      <c r="E18" s="112">
        <f>(' Plantations 2013-14(Final)'!E18-'3rd Plantations 2013-14'!E18)/'3rd Plantations 2013-14'!E18*100</f>
        <v>0</v>
      </c>
      <c r="F18" s="112">
        <f>(' Plantations 2013-14(Final)'!F18-'3rd Plantations 2013-14'!F18)/'3rd Plantations 2013-14'!F18*100</f>
        <v>0</v>
      </c>
      <c r="G18" s="112">
        <f>(' Plantations 2013-14(Final)'!G18-'3rd Plantations 2013-14'!G18)/'3rd Plantations 2013-14'!G18*100</f>
        <v>0</v>
      </c>
      <c r="H18" s="112">
        <f>(' Plantations 2013-14(Final)'!H18-'3rd Plantations 2013-14'!H18)/'3rd Plantations 2013-14'!H18*100</f>
        <v>-1.9331142470502428E-3</v>
      </c>
      <c r="I18" s="112">
        <f>(' Plantations 2013-14(Final)'!I18-'3rd Plantations 2013-14'!I18)/'3rd Plantations 2013-14'!I18*100</f>
        <v>-4.0350240083891807E-3</v>
      </c>
      <c r="J18" s="112">
        <f>(' Plantations 2013-14(Final)'!J18-'3rd Plantations 2013-14'!J18)/'3rd Plantations 2013-14'!J18*100</f>
        <v>-0.44598799491803437</v>
      </c>
      <c r="K18" s="112">
        <f>(' Plantations 2013-14(Final)'!K18-'3rd Plantations 2013-14'!K18)/'3rd Plantations 2013-14'!K18*100</f>
        <v>-0.25517887834820047</v>
      </c>
    </row>
    <row r="19" spans="1:11" ht="15.75" x14ac:dyDescent="0.25">
      <c r="A19" s="111" t="s">
        <v>26</v>
      </c>
      <c r="B19" s="112">
        <f>(' Plantations 2013-14(Final)'!B19-'3rd Plantations 2013-14'!B19)/'3rd Plantations 2013-14'!B19*100</f>
        <v>0</v>
      </c>
      <c r="C19" s="112">
        <f>(' Plantations 2013-14(Final)'!C19-'3rd Plantations 2013-14'!C19)/'3rd Plantations 2013-14'!C19*100</f>
        <v>0</v>
      </c>
      <c r="D19" s="112">
        <f>(' Plantations 2013-14(Final)'!D19-'3rd Plantations 2013-14'!D19)/'3rd Plantations 2013-14'!D19*100</f>
        <v>0</v>
      </c>
      <c r="E19" s="112">
        <f>(' Plantations 2013-14(Final)'!E19-'3rd Plantations 2013-14'!E19)/'3rd Plantations 2013-14'!E19*100</f>
        <v>-3.6092396535129931</v>
      </c>
      <c r="F19" s="112">
        <f>(' Plantations 2013-14(Final)'!F19-'3rd Plantations 2013-14'!F19)/'3rd Plantations 2013-14'!F19*100</f>
        <v>0</v>
      </c>
      <c r="G19" s="112">
        <f>(' Plantations 2013-14(Final)'!G19-'3rd Plantations 2013-14'!G19)/'3rd Plantations 2013-14'!G19*100</f>
        <v>0</v>
      </c>
      <c r="H19" s="112">
        <f>(' Plantations 2013-14(Final)'!H19-'3rd Plantations 2013-14'!H19)/'3rd Plantations 2013-14'!H19*100</f>
        <v>-0.1199004713328865</v>
      </c>
      <c r="I19" s="112">
        <f>(' Plantations 2013-14(Final)'!I19-'3rd Plantations 2013-14'!I19)/'3rd Plantations 2013-14'!I19*100</f>
        <v>2.9315430321347042</v>
      </c>
      <c r="J19" s="112">
        <f>(' Plantations 2013-14(Final)'!J19-'3rd Plantations 2013-14'!J19)/'3rd Plantations 2013-14'!J19*100</f>
        <v>-9.58279302869324E-2</v>
      </c>
      <c r="K19" s="112">
        <f>(' Plantations 2013-14(Final)'!K19-'3rd Plantations 2013-14'!K19)/'3rd Plantations 2013-14'!K19*100</f>
        <v>2.7182169183843441</v>
      </c>
    </row>
    <row r="20" spans="1:11" ht="15.75" x14ac:dyDescent="0.25">
      <c r="A20" s="111" t="s">
        <v>56</v>
      </c>
      <c r="B20" s="112"/>
      <c r="C20" s="112"/>
      <c r="D20" s="112"/>
      <c r="E20" s="112"/>
      <c r="F20" s="112"/>
      <c r="G20" s="112"/>
      <c r="H20" s="112">
        <f>(' Plantations 2013-14(Final)'!H20-'3rd Plantations 2013-14'!H20)/'3rd Plantations 2013-14'!H20*100</f>
        <v>0</v>
      </c>
      <c r="I20" s="112">
        <f>(' Plantations 2013-14(Final)'!I20-'3rd Plantations 2013-14'!I20)/'3rd Plantations 2013-14'!I20*100</f>
        <v>0</v>
      </c>
      <c r="J20" s="112">
        <f>(' Plantations 2013-14(Final)'!J20-'3rd Plantations 2013-14'!J20)/'3rd Plantations 2013-14'!J20*100</f>
        <v>0</v>
      </c>
      <c r="K20" s="112">
        <f>(' Plantations 2013-14(Final)'!K20-'3rd Plantations 2013-14'!K20)/'3rd Plantations 2013-14'!K20*100</f>
        <v>0</v>
      </c>
    </row>
    <row r="21" spans="1:11" ht="15.75" x14ac:dyDescent="0.25">
      <c r="A21" s="111" t="s">
        <v>27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1" ht="15.75" x14ac:dyDescent="0.25">
      <c r="A22" s="111" t="s">
        <v>28</v>
      </c>
      <c r="B22" s="112">
        <f>(' Plantations 2013-14(Final)'!B22-'3rd Plantations 2013-14'!B22)/'3rd Plantations 2013-14'!B22*100</f>
        <v>0</v>
      </c>
      <c r="C22" s="112">
        <f>(' Plantations 2013-14(Final)'!C22-'3rd Plantations 2013-14'!C22)/'3rd Plantations 2013-14'!C22*100</f>
        <v>0</v>
      </c>
      <c r="D22" s="112">
        <f>(' Plantations 2013-14(Final)'!D22-'3rd Plantations 2013-14'!D22)/'3rd Plantations 2013-14'!D22*100</f>
        <v>0</v>
      </c>
      <c r="E22" s="112">
        <f>(' Plantations 2013-14(Final)'!E22-'3rd Plantations 2013-14'!E22)/'3rd Plantations 2013-14'!E22*100</f>
        <v>-2.6421004904991654</v>
      </c>
      <c r="F22" s="112"/>
      <c r="G22" s="112"/>
      <c r="H22" s="112">
        <f>(' Plantations 2013-14(Final)'!H22-'3rd Plantations 2013-14'!H22)/'3rd Plantations 2013-14'!H22*100</f>
        <v>0</v>
      </c>
      <c r="I22" s="112">
        <f>(' Plantations 2013-14(Final)'!I22-'3rd Plantations 2013-14'!I22)/'3rd Plantations 2013-14'!I22*100</f>
        <v>0</v>
      </c>
      <c r="J22" s="112">
        <f>(' Plantations 2013-14(Final)'!J22-'3rd Plantations 2013-14'!J22)/'3rd Plantations 2013-14'!J22*100</f>
        <v>0</v>
      </c>
      <c r="K22" s="112">
        <f>(' Plantations 2013-14(Final)'!K22-'3rd Plantations 2013-14'!K22)/'3rd Plantations 2013-14'!K22*100</f>
        <v>-1.7083766424135882</v>
      </c>
    </row>
    <row r="23" spans="1:11" ht="15.75" x14ac:dyDescent="0.25">
      <c r="A23" s="115" t="s">
        <v>29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</row>
    <row r="24" spans="1:11" ht="15.75" x14ac:dyDescent="0.25">
      <c r="A24" s="111" t="s">
        <v>30</v>
      </c>
      <c r="B24" s="112">
        <f>(' Plantations 2013-14(Final)'!B24-'3rd Plantations 2013-14'!B24)/'3rd Plantations 2013-14'!B24*100</f>
        <v>17.031463748290015</v>
      </c>
      <c r="C24" s="112">
        <f>(' Plantations 2013-14(Final)'!C24-'3rd Plantations 2013-14'!C24)/'3rd Plantations 2013-14'!C24*100</f>
        <v>24.457892082702983</v>
      </c>
      <c r="D24" s="112">
        <f>(' Plantations 2013-14(Final)'!D24-'3rd Plantations 2013-14'!D24)/'3rd Plantations 2013-14'!D24*100</f>
        <v>0</v>
      </c>
      <c r="E24" s="112">
        <f>(' Plantations 2013-14(Final)'!E24-'3rd Plantations 2013-14'!E24)/'3rd Plantations 2013-14'!E24*100</f>
        <v>-53.313550939663699</v>
      </c>
      <c r="F24" s="112"/>
      <c r="G24" s="112"/>
      <c r="H24" s="112"/>
      <c r="I24" s="112"/>
      <c r="J24" s="112">
        <f>(' Plantations 2013-14(Final)'!J24-'3rd Plantations 2013-14'!J24)/'3rd Plantations 2013-14'!J24*100</f>
        <v>10.769896193771636</v>
      </c>
      <c r="K24" s="112">
        <f>(' Plantations 2013-14(Final)'!K24-'3rd Plantations 2013-14'!K24)/'3rd Plantations 2013-14'!K24*100</f>
        <v>-1.8036072144288551</v>
      </c>
    </row>
    <row r="25" spans="1:11" ht="15.75" x14ac:dyDescent="0.25">
      <c r="A25" s="111" t="s">
        <v>31</v>
      </c>
      <c r="B25" s="112">
        <f>(' Plantations 2013-14(Final)'!B25-'3rd Plantations 2013-14'!B25)/'3rd Plantations 2013-14'!B25*100</f>
        <v>0</v>
      </c>
      <c r="C25" s="112">
        <f>(' Plantations 2013-14(Final)'!C25-'3rd Plantations 2013-14'!C25)/'3rd Plantations 2013-14'!C25*100</f>
        <v>0</v>
      </c>
      <c r="D25" s="112">
        <f>(' Plantations 2013-14(Final)'!D25-'3rd Plantations 2013-14'!D25)/'3rd Plantations 2013-14'!D25*100</f>
        <v>0</v>
      </c>
      <c r="E25" s="112">
        <f>(' Plantations 2013-14(Final)'!E25-'3rd Plantations 2013-14'!E25)/'3rd Plantations 2013-14'!E25*100</f>
        <v>0</v>
      </c>
      <c r="F25" s="112"/>
      <c r="G25" s="112"/>
      <c r="H25" s="112">
        <f>(' Plantations 2013-14(Final)'!H25-'3rd Plantations 2013-14'!H25)/'3rd Plantations 2013-14'!H25*100</f>
        <v>-50</v>
      </c>
      <c r="I25" s="112">
        <f>(' Plantations 2013-14(Final)'!I25-'3rd Plantations 2013-14'!I25)/'3rd Plantations 2013-14'!I25*100</f>
        <v>-26.785714285714285</v>
      </c>
      <c r="J25" s="112">
        <f>(' Plantations 2013-14(Final)'!J25-'3rd Plantations 2013-14'!J25)/'3rd Plantations 2013-14'!J25*100</f>
        <v>-0.39308176100628101</v>
      </c>
      <c r="K25" s="112">
        <f>(' Plantations 2013-14(Final)'!K25-'3rd Plantations 2013-14'!K25)/'3rd Plantations 2013-14'!K25*100</f>
        <v>-0.67658998646820578</v>
      </c>
    </row>
    <row r="26" spans="1:11" ht="15.75" x14ac:dyDescent="0.25">
      <c r="A26" s="114" t="s">
        <v>32</v>
      </c>
      <c r="B26" s="112">
        <f>(' Plantations 2013-14(Final)'!B26-'3rd Plantations 2013-14'!B26)/'3rd Plantations 2013-14'!B26*100</f>
        <v>0</v>
      </c>
      <c r="C26" s="112">
        <f>(' Plantations 2013-14(Final)'!C26-'3rd Plantations 2013-14'!C26)/'3rd Plantations 2013-14'!C26*100</f>
        <v>0</v>
      </c>
      <c r="D26" s="112"/>
      <c r="E26" s="112"/>
      <c r="F26" s="112"/>
      <c r="G26" s="112"/>
      <c r="H26" s="112">
        <f>(' Plantations 2013-14(Final)'!H26-'3rd Plantations 2013-14'!H26)/'3rd Plantations 2013-14'!H26*100</f>
        <v>3.5714285714285747</v>
      </c>
      <c r="I26" s="112">
        <f>(' Plantations 2013-14(Final)'!I26-'3rd Plantations 2013-14'!I26)/'3rd Plantations 2013-14'!I26*100</f>
        <v>0.26785714285715301</v>
      </c>
      <c r="J26" s="112">
        <f>(' Plantations 2013-14(Final)'!J26-'3rd Plantations 2013-14'!J26)/'3rd Plantations 2013-14'!J26*100</f>
        <v>3.0864197530864228</v>
      </c>
      <c r="K26" s="112">
        <f>(' Plantations 2013-14(Final)'!K26-'3rd Plantations 2013-14'!K26)/'3rd Plantations 2013-14'!K26*100</f>
        <v>0.26501766784453307</v>
      </c>
    </row>
    <row r="27" spans="1:11" ht="15.75" x14ac:dyDescent="0.25">
      <c r="A27" s="111" t="s">
        <v>189</v>
      </c>
      <c r="B27" s="112"/>
      <c r="C27" s="112"/>
      <c r="D27" s="112">
        <f>(' Plantations 2013-14(Final)'!D27-'3rd Plantations 2013-14'!D27)/'3rd Plantations 2013-14'!D27*100</f>
        <v>0</v>
      </c>
      <c r="E27" s="112">
        <f>(' Plantations 2013-14(Final)'!E27-'3rd Plantations 2013-14'!E27)/'3rd Plantations 2013-14'!E27*100</f>
        <v>0</v>
      </c>
      <c r="F27" s="112"/>
      <c r="G27" s="112"/>
      <c r="H27" s="112">
        <f>(' Plantations 2013-14(Final)'!H27-'3rd Plantations 2013-14'!H27)/'3rd Plantations 2013-14'!H27*100</f>
        <v>0</v>
      </c>
      <c r="I27" s="112">
        <f>(' Plantations 2013-14(Final)'!I27-'3rd Plantations 2013-14'!I27)/'3rd Plantations 2013-14'!I27*100</f>
        <v>-54.546747967479682</v>
      </c>
      <c r="J27" s="112">
        <f>(' Plantations 2013-14(Final)'!J27-'3rd Plantations 2013-14'!J27)/'3rd Plantations 2013-14'!J27*100</f>
        <v>0</v>
      </c>
      <c r="K27" s="112">
        <f>(' Plantations 2013-14(Final)'!K27-'3rd Plantations 2013-14'!K27)/'3rd Plantations 2013-14'!K27*100</f>
        <v>-46.454103269806659</v>
      </c>
    </row>
    <row r="28" spans="1:11" ht="15.75" x14ac:dyDescent="0.25">
      <c r="A28" s="114" t="s">
        <v>167</v>
      </c>
      <c r="B28" s="112">
        <f>(' Plantations 2013-14(Final)'!B28-'3rd Plantations 2013-14'!B28)/'3rd Plantations 2013-14'!B28*100</f>
        <v>0</v>
      </c>
      <c r="C28" s="112">
        <f>(' Plantations 2013-14(Final)'!C28-'3rd Plantations 2013-14'!C28)/'3rd Plantations 2013-14'!C28*100</f>
        <v>0</v>
      </c>
      <c r="D28" s="112"/>
      <c r="E28" s="112"/>
      <c r="F28" s="112"/>
      <c r="G28" s="112"/>
      <c r="H28" s="112">
        <f>(' Plantations 2013-14(Final)'!H28-'3rd Plantations 2013-14'!H28)/'3rd Plantations 2013-14'!H28*100</f>
        <v>0</v>
      </c>
      <c r="I28" s="112">
        <f>(' Plantations 2013-14(Final)'!I28-'3rd Plantations 2013-14'!I28)/'3rd Plantations 2013-14'!I28*100</f>
        <v>0</v>
      </c>
      <c r="J28" s="112">
        <f>(' Plantations 2013-14(Final)'!J28-'3rd Plantations 2013-14'!J28)/'3rd Plantations 2013-14'!J28*100</f>
        <v>247.77006937561941</v>
      </c>
      <c r="K28" s="112">
        <f>(' Plantations 2013-14(Final)'!K28-'3rd Plantations 2013-14'!K28)/'3rd Plantations 2013-14'!K28*100</f>
        <v>12.74426508071368</v>
      </c>
    </row>
    <row r="29" spans="1:11" ht="15.75" x14ac:dyDescent="0.25">
      <c r="A29" s="111" t="s">
        <v>33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ht="15.75" x14ac:dyDescent="0.25">
      <c r="A30" s="111" t="s">
        <v>34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1" ht="15.75" x14ac:dyDescent="0.25">
      <c r="A31" s="111" t="s">
        <v>35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ht="15.75" x14ac:dyDescent="0.25">
      <c r="A32" s="111" t="s">
        <v>36</v>
      </c>
      <c r="B32" s="112">
        <f>(' Plantations 2013-14(Final)'!B32-'3rd Plantations 2013-14'!B32)/'3rd Plantations 2013-14'!B32*100</f>
        <v>0</v>
      </c>
      <c r="C32" s="112">
        <f>(' Plantations 2013-14(Final)'!C32-'3rd Plantations 2013-14'!C32)/'3rd Plantations 2013-14'!C32*100</f>
        <v>0</v>
      </c>
      <c r="D32" s="112">
        <f>(' Plantations 2013-14(Final)'!D32-'3rd Plantations 2013-14'!D32)/'3rd Plantations 2013-14'!D32*100</f>
        <v>0</v>
      </c>
      <c r="E32" s="112">
        <f>(' Plantations 2013-14(Final)'!E32-'3rd Plantations 2013-14'!E32)/'3rd Plantations 2013-14'!E32*100</f>
        <v>0</v>
      </c>
      <c r="F32" s="112">
        <f>(' Plantations 2013-14(Final)'!F32-'3rd Plantations 2013-14'!F32)/'3rd Plantations 2013-14'!F32*100</f>
        <v>-0.12505731793739269</v>
      </c>
      <c r="G32" s="112">
        <f>(' Plantations 2013-14(Final)'!G32-'3rd Plantations 2013-14'!G32)/'3rd Plantations 2013-14'!G32*100</f>
        <v>0</v>
      </c>
      <c r="H32" s="112">
        <f>(' Plantations 2013-14(Final)'!H32-'3rd Plantations 2013-14'!H32)/'3rd Plantations 2013-14'!H32*100</f>
        <v>0</v>
      </c>
      <c r="I32" s="112">
        <f>(' Plantations 2013-14(Final)'!I32-'3rd Plantations 2013-14'!I32)/'3rd Plantations 2013-14'!I32*100</f>
        <v>0</v>
      </c>
      <c r="J32" s="112">
        <f>(' Plantations 2013-14(Final)'!J32-'3rd Plantations 2013-14'!J32)/'3rd Plantations 2013-14'!J32*100</f>
        <v>-4.7275586729384634E-3</v>
      </c>
      <c r="K32" s="112">
        <f>(' Plantations 2013-14(Final)'!K32-'3rd Plantations 2013-14'!K32)/'3rd Plantations 2013-14'!K32*100</f>
        <v>0</v>
      </c>
    </row>
    <row r="33" spans="1:11" ht="15.75" x14ac:dyDescent="0.25">
      <c r="A33" s="116" t="s">
        <v>241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ht="15.75" x14ac:dyDescent="0.25">
      <c r="A34" s="111" t="s">
        <v>37</v>
      </c>
      <c r="B34" s="112">
        <f>(' Plantations 2013-14(Final)'!B34-'3rd Plantations 2013-14'!B34)/'3rd Plantations 2013-14'!B34*100</f>
        <v>0</v>
      </c>
      <c r="C34" s="112">
        <f>(' Plantations 2013-14(Final)'!C34-'3rd Plantations 2013-14'!C34)/'3rd Plantations 2013-14'!C34*100</f>
        <v>0</v>
      </c>
      <c r="D34" s="112">
        <f>(' Plantations 2013-14(Final)'!D34-'3rd Plantations 2013-14'!D34)/'3rd Plantations 2013-14'!D34*100</f>
        <v>0</v>
      </c>
      <c r="E34" s="112">
        <f>(' Plantations 2013-14(Final)'!E34-'3rd Plantations 2013-14'!E34)/'3rd Plantations 2013-14'!E34*100</f>
        <v>-45.098039215686278</v>
      </c>
      <c r="F34" s="112"/>
      <c r="G34" s="112"/>
      <c r="H34" s="112">
        <f>(' Plantations 2013-14(Final)'!H34-'3rd Plantations 2013-14'!H34)/'3rd Plantations 2013-14'!H34*100</f>
        <v>6.6358024691357969</v>
      </c>
      <c r="I34" s="112">
        <f>(' Plantations 2013-14(Final)'!I34-'3rd Plantations 2013-14'!I34)/'3rd Plantations 2013-14'!I34*100</f>
        <v>2.5263157894736867</v>
      </c>
      <c r="J34" s="112">
        <f>(' Plantations 2013-14(Final)'!J34-'3rd Plantations 2013-14'!J34)/'3rd Plantations 2013-14'!J34*100</f>
        <v>2.7958387516254857</v>
      </c>
      <c r="K34" s="112">
        <f>(' Plantations 2013-14(Final)'!K34-'3rd Plantations 2013-14'!K34)/'3rd Plantations 2013-14'!K34*100</f>
        <v>-5.3497942386831081</v>
      </c>
    </row>
    <row r="35" spans="1:11" ht="15.75" x14ac:dyDescent="0.25">
      <c r="A35" s="111" t="s">
        <v>38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ht="15.75" x14ac:dyDescent="0.25">
      <c r="A36" s="111" t="s">
        <v>90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ht="15.75" x14ac:dyDescent="0.25">
      <c r="A37" s="111" t="s">
        <v>40</v>
      </c>
      <c r="B37" s="112"/>
      <c r="C37" s="112"/>
      <c r="D37" s="112">
        <f>(' Plantations 2013-14(Final)'!D37-'3rd Plantations 2013-14'!D37)/'3rd Plantations 2013-14'!D37*100</f>
        <v>0</v>
      </c>
      <c r="E37" s="112">
        <f>(' Plantations 2013-14(Final)'!E37-'3rd Plantations 2013-14'!E37)/'3rd Plantations 2013-14'!E37*100</f>
        <v>0</v>
      </c>
      <c r="F37" s="112"/>
      <c r="G37" s="112"/>
      <c r="H37" s="112">
        <f>(' Plantations 2013-14(Final)'!H37-'3rd Plantations 2013-14'!H37)/'3rd Plantations 2013-14'!H37*100</f>
        <v>0</v>
      </c>
      <c r="I37" s="112">
        <f>(' Plantations 2013-14(Final)'!I37-'3rd Plantations 2013-14'!I37)/'3rd Plantations 2013-14'!I37*100</f>
        <v>0</v>
      </c>
      <c r="J37" s="112">
        <f>(' Plantations 2013-14(Final)'!J37-'3rd Plantations 2013-14'!J37)/'3rd Plantations 2013-14'!J37*100</f>
        <v>0</v>
      </c>
      <c r="K37" s="112">
        <f>(' Plantations 2013-14(Final)'!K37-'3rd Plantations 2013-14'!K37)/'3rd Plantations 2013-14'!K37*100</f>
        <v>0</v>
      </c>
    </row>
    <row r="38" spans="1:11" ht="15.75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ht="15.75" x14ac:dyDescent="0.25">
      <c r="A39" s="111" t="s">
        <v>9</v>
      </c>
      <c r="B39" s="113">
        <f>(' Plantations 2013-14(Final)'!B39-'3rd Plantations 2013-14'!B39)/'3rd Plantations 2013-14'!B39*100</f>
        <v>4.4259537930383744E-3</v>
      </c>
      <c r="C39" s="113">
        <f>(' Plantations 2013-14(Final)'!C39-'3rd Plantations 2013-14'!C39)/'3rd Plantations 2013-14'!C39*100</f>
        <v>-0.57519932254302364</v>
      </c>
      <c r="D39" s="113">
        <f>(' Plantations 2013-14(Final)'!D39-'3rd Plantations 2013-14'!D39)/'3rd Plantations 2013-14'!D39*100</f>
        <v>0.23053537751282888</v>
      </c>
      <c r="E39" s="113">
        <f>(' Plantations 2013-14(Final)'!E39-'3rd Plantations 2013-14'!E39)/'3rd Plantations 2013-14'!E39*100</f>
        <v>-0.57031058163760506</v>
      </c>
      <c r="F39" s="113">
        <f>(' Plantations 2013-14(Final)'!F39-'3rd Plantations 2013-14'!F39)/'3rd Plantations 2013-14'!F39*100</f>
        <v>0</v>
      </c>
      <c r="G39" s="113">
        <f>(' Plantations 2013-14(Final)'!G39-'3rd Plantations 2013-14'!G39)/'3rd Plantations 2013-14'!G39*100</f>
        <v>0</v>
      </c>
      <c r="H39" s="113">
        <f>(' Plantations 2013-14(Final)'!H39-'3rd Plantations 2013-14'!H39)/'3rd Plantations 2013-14'!H39*100</f>
        <v>-9.6660250653887794E-2</v>
      </c>
      <c r="I39" s="113">
        <f>(' Plantations 2013-14(Final)'!I39-'3rd Plantations 2013-14'!I39)/'3rd Plantations 2013-14'!I39*100</f>
        <v>-1.9015490638266437</v>
      </c>
      <c r="J39" s="113">
        <f>(' Plantations 2013-14(Final)'!J39-'3rd Plantations 2013-14'!J39)/'3rd Plantations 2013-14'!J39*100</f>
        <v>7.4571560529870864E-3</v>
      </c>
      <c r="K39" s="113">
        <f>(' Plantations 2013-14(Final)'!K39-'3rd Plantations 2013-14'!K39)/'3rd Plantations 2013-14'!K39*100</f>
        <v>-1.7890494626641675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K38"/>
  <sheetViews>
    <sheetView topLeftCell="A25" workbookViewId="0">
      <selection activeCell="B6" sqref="B6"/>
    </sheetView>
  </sheetViews>
  <sheetFormatPr defaultRowHeight="12.75" x14ac:dyDescent="0.2"/>
  <cols>
    <col min="1" max="1" width="23.85546875" customWidth="1"/>
  </cols>
  <sheetData>
    <row r="4" spans="1:37" ht="15.75" x14ac:dyDescent="0.25">
      <c r="A4" s="54" t="s">
        <v>202</v>
      </c>
      <c r="B4" s="319" t="s">
        <v>126</v>
      </c>
      <c r="C4" s="319"/>
      <c r="D4" s="319" t="s">
        <v>127</v>
      </c>
      <c r="E4" s="319"/>
      <c r="F4" s="319" t="s">
        <v>183</v>
      </c>
      <c r="G4" s="319"/>
      <c r="H4" s="319" t="s">
        <v>128</v>
      </c>
      <c r="I4" s="319"/>
      <c r="J4" s="319" t="s">
        <v>129</v>
      </c>
      <c r="K4" s="319"/>
      <c r="L4" s="319" t="s">
        <v>130</v>
      </c>
      <c r="M4" s="319"/>
      <c r="N4" s="319" t="s">
        <v>131</v>
      </c>
      <c r="O4" s="319"/>
      <c r="P4" s="319" t="s">
        <v>132</v>
      </c>
      <c r="Q4" s="319"/>
      <c r="R4" s="319" t="s">
        <v>133</v>
      </c>
      <c r="S4" s="319"/>
      <c r="T4" s="319" t="s">
        <v>216</v>
      </c>
      <c r="U4" s="319"/>
      <c r="V4" s="319" t="s">
        <v>134</v>
      </c>
      <c r="W4" s="319"/>
      <c r="X4" s="319" t="s">
        <v>184</v>
      </c>
      <c r="Y4" s="319"/>
      <c r="Z4" s="320" t="s">
        <v>185</v>
      </c>
      <c r="AA4" s="320"/>
      <c r="AB4" s="319" t="s">
        <v>135</v>
      </c>
      <c r="AC4" s="319"/>
      <c r="AD4" s="319" t="s">
        <v>136</v>
      </c>
      <c r="AE4" s="319"/>
      <c r="AF4" s="319" t="s">
        <v>137</v>
      </c>
      <c r="AG4" s="319"/>
      <c r="AH4" s="319" t="s">
        <v>186</v>
      </c>
      <c r="AI4" s="319"/>
      <c r="AJ4" s="319" t="s">
        <v>53</v>
      </c>
      <c r="AK4" s="319"/>
    </row>
    <row r="5" spans="1:37" ht="15.75" x14ac:dyDescent="0.25">
      <c r="A5" s="4"/>
      <c r="B5" s="57" t="s">
        <v>48</v>
      </c>
      <c r="C5" s="57" t="s">
        <v>10</v>
      </c>
      <c r="D5" s="57" t="s">
        <v>48</v>
      </c>
      <c r="E5" s="57" t="s">
        <v>10</v>
      </c>
      <c r="F5" s="57" t="s">
        <v>48</v>
      </c>
      <c r="G5" s="57" t="s">
        <v>10</v>
      </c>
      <c r="H5" s="57" t="s">
        <v>48</v>
      </c>
      <c r="I5" s="57" t="s">
        <v>10</v>
      </c>
      <c r="J5" s="57" t="s">
        <v>48</v>
      </c>
      <c r="K5" s="57" t="s">
        <v>10</v>
      </c>
      <c r="L5" s="57" t="s">
        <v>48</v>
      </c>
      <c r="M5" s="57" t="s">
        <v>10</v>
      </c>
      <c r="N5" s="57" t="s">
        <v>48</v>
      </c>
      <c r="O5" s="57" t="s">
        <v>10</v>
      </c>
      <c r="P5" s="57" t="s">
        <v>48</v>
      </c>
      <c r="Q5" s="57" t="s">
        <v>10</v>
      </c>
      <c r="R5" s="57" t="s">
        <v>48</v>
      </c>
      <c r="S5" s="57" t="s">
        <v>10</v>
      </c>
      <c r="T5" s="57" t="s">
        <v>48</v>
      </c>
      <c r="U5" s="57" t="s">
        <v>10</v>
      </c>
      <c r="V5" s="57" t="s">
        <v>48</v>
      </c>
      <c r="W5" s="57" t="s">
        <v>10</v>
      </c>
      <c r="X5" s="57" t="s">
        <v>48</v>
      </c>
      <c r="Y5" s="57" t="s">
        <v>10</v>
      </c>
      <c r="Z5" s="57" t="s">
        <v>48</v>
      </c>
      <c r="AA5" s="57" t="s">
        <v>10</v>
      </c>
      <c r="AB5" s="57" t="s">
        <v>48</v>
      </c>
      <c r="AC5" s="57" t="s">
        <v>10</v>
      </c>
      <c r="AD5" s="57" t="s">
        <v>48</v>
      </c>
      <c r="AE5" s="57" t="s">
        <v>10</v>
      </c>
      <c r="AF5" s="57" t="s">
        <v>48</v>
      </c>
      <c r="AG5" s="57" t="s">
        <v>10</v>
      </c>
      <c r="AH5" s="57" t="s">
        <v>48</v>
      </c>
      <c r="AI5" s="57" t="s">
        <v>10</v>
      </c>
      <c r="AJ5" s="57" t="s">
        <v>48</v>
      </c>
      <c r="AK5" s="57" t="s">
        <v>10</v>
      </c>
    </row>
    <row r="6" spans="1:37" ht="15.75" x14ac:dyDescent="0.25">
      <c r="A6" s="5" t="s">
        <v>11</v>
      </c>
      <c r="B6" s="6">
        <f>(' Spices 2013-14(Final)'!B3-'3rd Spices 2013-14'!B3)/'3rd Spices 2013-14'!B3*100</f>
        <v>0</v>
      </c>
      <c r="C6" s="6">
        <f>(' Spices 2013-14(Final)'!C3-'3rd Spices 2013-14'!C3)/'3rd Spices 2013-14'!C3*100</f>
        <v>0</v>
      </c>
      <c r="D6" s="6">
        <f>(' Spices 2013-14(Final)'!D3-'3rd Spices 2013-14'!D3)/'3rd Spices 2013-14'!D3*100</f>
        <v>0</v>
      </c>
      <c r="E6" s="6">
        <f>(' Spices 2013-14(Final)'!E3-'3rd Spices 2013-14'!E3)/'3rd Spices 2013-14'!E3*100</f>
        <v>0</v>
      </c>
      <c r="F6" s="6">
        <f>(' Spices 2013-14(Final)'!F3-'3rd Spices 2013-14'!F3)/'3rd Spices 2013-14'!F3*100</f>
        <v>0</v>
      </c>
      <c r="G6" s="6">
        <f>(' Spices 2013-14(Final)'!G3-'3rd Spices 2013-14'!G3)/'3rd Spices 2013-14'!G3*100</f>
        <v>0</v>
      </c>
      <c r="H6" s="6">
        <f>(' Spices 2013-14(Final)'!H3-'3rd Spices 2013-14'!H3)/'3rd Spices 2013-14'!H3*100</f>
        <v>0</v>
      </c>
      <c r="I6" s="6">
        <f>(' Spices 2013-14(Final)'!I3-'3rd Spices 2013-14'!I3)/'3rd Spices 2013-14'!I3*100</f>
        <v>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>
        <f>(' Spices 2013-14(Final)'!Z3-'3rd Spices 2013-14'!Z3)/'3rd Spices 2013-14'!Z3*100</f>
        <v>0</v>
      </c>
      <c r="AA6" s="6">
        <f>(' Spices 2013-14(Final)'!AA3-'3rd Spices 2013-14'!AA3)/'3rd Spices 2013-14'!AA3*100</f>
        <v>0</v>
      </c>
      <c r="AB6" s="6">
        <f>(' Spices 2013-14(Final)'!AB3-'3rd Spices 2013-14'!AB3)/'3rd Spices 2013-14'!AB3*100</f>
        <v>0</v>
      </c>
      <c r="AC6" s="6">
        <f>(' Spices 2013-14(Final)'!AC3-'3rd Spices 2013-14'!AC3)/'3rd Spices 2013-14'!AC3*100</f>
        <v>0</v>
      </c>
      <c r="AD6" s="6">
        <f>(' Spices 2013-14(Final)'!AD3-'3rd Spices 2013-14'!AD3)/'3rd Spices 2013-14'!AD3*100</f>
        <v>0</v>
      </c>
      <c r="AE6" s="6">
        <f>(' Spices 2013-14(Final)'!AE3-'3rd Spices 2013-14'!AE3)/'3rd Spices 2013-14'!AE3*100</f>
        <v>0</v>
      </c>
      <c r="AF6" s="6"/>
      <c r="AG6" s="6"/>
      <c r="AH6" s="6"/>
      <c r="AI6" s="6"/>
      <c r="AJ6" s="15">
        <f>B6+D6+F6+H6+J6+L6+N6+P6+R6+T6+V6+X6+Z6+AB6+AD6+AF6+AH6</f>
        <v>0</v>
      </c>
      <c r="AK6" s="15">
        <f>C6+E6+G6+I6+K6+M6+O6+Q6+S6+U6+W6+Y6+AA6+AC6+AE6+AG6+AI6</f>
        <v>0</v>
      </c>
    </row>
    <row r="7" spans="1:37" ht="15.75" x14ac:dyDescent="0.25">
      <c r="A7" s="5" t="s">
        <v>12</v>
      </c>
      <c r="B7" s="6">
        <f>(' Spices 2013-14(Final)'!B4-'3rd Spices 2013-14'!B4)/'3rd Spices 2013-14'!B4*100</f>
        <v>-100</v>
      </c>
      <c r="C7" s="6">
        <f>(' Spices 2013-14(Final)'!C4-'3rd Spices 2013-14'!C4)/'3rd Spices 2013-14'!C4*100</f>
        <v>-100</v>
      </c>
      <c r="D7" s="6">
        <f>(' Spices 2013-14(Final)'!D4-'3rd Spices 2013-14'!D4)/'3rd Spices 2013-14'!D4*100</f>
        <v>-84.81120067882901</v>
      </c>
      <c r="E7" s="6">
        <f>(' Spices 2013-14(Final)'!E4-'3rd Spices 2013-14'!E4)/'3rd Spices 2013-14'!E4*100</f>
        <v>-92.558392178164041</v>
      </c>
      <c r="F7" s="6">
        <f>(' Spices 2013-14(Final)'!F4-'3rd Spices 2013-14'!F4)/'3rd Spices 2013-14'!F4*100</f>
        <v>-37.167464114832541</v>
      </c>
      <c r="G7" s="6">
        <f>(' Spices 2013-14(Final)'!G4-'3rd Spices 2013-14'!G4)/'3rd Spices 2013-14'!G4*100</f>
        <v>-20.686429512516469</v>
      </c>
      <c r="H7" s="6">
        <f>(' Spices 2013-14(Final)'!H4-'3rd Spices 2013-14'!H4)/'3rd Spices 2013-14'!H4*100</f>
        <v>-73.402985074626869</v>
      </c>
      <c r="I7" s="6">
        <f>(' Spices 2013-14(Final)'!I4-'3rd Spices 2013-14'!I4)/'3rd Spices 2013-14'!I4*100</f>
        <v>-63.038929440389303</v>
      </c>
      <c r="J7" s="6">
        <f>(' Spices 2013-14(Final)'!J4-'3rd Spices 2013-14'!J4)/'3rd Spices 2013-14'!J4*100</f>
        <v>-100</v>
      </c>
      <c r="K7" s="6">
        <f>(' Spices 2013-14(Final)'!K4-'3rd Spices 2013-14'!K4)/'3rd Spices 2013-14'!K4*100</f>
        <v>-100</v>
      </c>
      <c r="L7" s="6"/>
      <c r="M7" s="6"/>
      <c r="N7" s="6">
        <f>(' Spices 2013-14(Final)'!N4-'3rd Spices 2013-14'!N4)/'3rd Spices 2013-14'!N4*100</f>
        <v>-2.6497695852534608</v>
      </c>
      <c r="O7" s="6">
        <f>(' Spices 2013-14(Final)'!O4-'3rd Spices 2013-14'!O4)/'3rd Spices 2013-14'!O4*100</f>
        <v>-6.3432835820895663</v>
      </c>
      <c r="P7" s="6"/>
      <c r="Q7" s="6"/>
      <c r="R7" s="6"/>
      <c r="S7" s="6"/>
      <c r="T7" s="6"/>
      <c r="U7" s="6"/>
      <c r="V7" s="6">
        <f>(' Spices 2013-14(Final)'!V4-'3rd Spices 2013-14'!V4)/'3rd Spices 2013-14'!V4*100</f>
        <v>-29.392971246006393</v>
      </c>
      <c r="W7" s="6">
        <f>(' Spices 2013-14(Final)'!W4-'3rd Spices 2013-14'!W4)/'3rd Spices 2013-14'!W4*100</f>
        <v>28.571428571428552</v>
      </c>
      <c r="X7" s="6"/>
      <c r="Y7" s="6"/>
      <c r="Z7" s="6"/>
      <c r="AA7" s="6"/>
      <c r="AB7" s="6"/>
      <c r="AC7" s="6"/>
      <c r="AD7" s="6"/>
      <c r="AE7" s="6"/>
      <c r="AF7" s="6">
        <f>(' Spices 2013-14(Final)'!AF4-'3rd Spices 2013-14'!AF4)/'3rd Spices 2013-14'!AF4*100</f>
        <v>-13.743218806509958</v>
      </c>
      <c r="AG7" s="6">
        <f>(' Spices 2013-14(Final)'!AG4-'3rd Spices 2013-14'!AG4)/'3rd Spices 2013-14'!AG4*100</f>
        <v>-36.799999999999997</v>
      </c>
      <c r="AH7" s="6">
        <f>(' Spices 2013-14(Final)'!AH4-'3rd Spices 2013-14'!AH4)/'3rd Spices 2013-14'!AH4*100</f>
        <v>0</v>
      </c>
      <c r="AI7" s="6">
        <f>(' Spices 2013-14(Final)'!AI4-'3rd Spices 2013-14'!AI4)/'3rd Spices 2013-14'!AI4*100</f>
        <v>0</v>
      </c>
      <c r="AJ7" s="15">
        <f t="shared" ref="AJ7:AK36" si="0">B7+D7+F7+H7+J7+L7+N7+P7+R7+T7+V7+X7+Z7+AB7+AD7+AF7+AH7</f>
        <v>-441.16760950605823</v>
      </c>
      <c r="AK7" s="15">
        <f t="shared" si="0"/>
        <v>-390.85560614173085</v>
      </c>
    </row>
    <row r="8" spans="1:37" ht="15.75" x14ac:dyDescent="0.25">
      <c r="A8" s="7" t="s">
        <v>13</v>
      </c>
      <c r="B8" s="6"/>
      <c r="C8" s="6"/>
      <c r="D8" s="6">
        <f>(' Spices 2013-14(Final)'!D5-'3rd Spices 2013-14'!D5)/'3rd Spices 2013-14'!D5*100</f>
        <v>0</v>
      </c>
      <c r="E8" s="6">
        <f>(' Spices 2013-14(Final)'!E5-'3rd Spices 2013-14'!E5)/'3rd Spices 2013-14'!E5*100</f>
        <v>0</v>
      </c>
      <c r="F8" s="6">
        <f>(' Spices 2013-14(Final)'!F5-'3rd Spices 2013-14'!F5)/'3rd Spices 2013-14'!F5*100</f>
        <v>0</v>
      </c>
      <c r="G8" s="6">
        <f>(' Spices 2013-14(Final)'!G5-'3rd Spices 2013-14'!G5)/'3rd Spices 2013-14'!G5*100</f>
        <v>0</v>
      </c>
      <c r="H8" s="6">
        <f>(' Spices 2013-14(Final)'!H5-'3rd Spices 2013-14'!H5)/'3rd Spices 2013-14'!H5*100</f>
        <v>0</v>
      </c>
      <c r="I8" s="6">
        <f>(' Spices 2013-14(Final)'!I5-'3rd Spices 2013-14'!I5)/'3rd Spices 2013-14'!I5*100</f>
        <v>0</v>
      </c>
      <c r="J8" s="6">
        <f>(' Spices 2013-14(Final)'!J5-'3rd Spices 2013-14'!J5)/'3rd Spices 2013-14'!J5*100</f>
        <v>0</v>
      </c>
      <c r="K8" s="6">
        <f>(' Spices 2013-14(Final)'!K5-'3rd Spices 2013-14'!K5)/'3rd Spices 2013-14'!K5*100</f>
        <v>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15">
        <f t="shared" si="0"/>
        <v>0</v>
      </c>
      <c r="AK8" s="15">
        <f t="shared" si="0"/>
        <v>0</v>
      </c>
    </row>
    <row r="9" spans="1:37" ht="15.75" x14ac:dyDescent="0.25">
      <c r="A9" s="5" t="s">
        <v>14</v>
      </c>
      <c r="B9" s="6">
        <f>(' Spices 2013-14(Final)'!B6-'3rd Spices 2013-14'!B6)/'3rd Spices 2013-14'!B6*100</f>
        <v>-5.3763440860215095</v>
      </c>
      <c r="C9" s="6">
        <f>(' Spices 2013-14(Final)'!C6-'3rd Spices 2013-14'!C6)/'3rd Spices 2013-14'!C6*100</f>
        <v>1.0050251256281304</v>
      </c>
      <c r="D9" s="6">
        <f>(' Spices 2013-14(Final)'!D6-'3rd Spices 2013-14'!D6)/'3rd Spices 2013-14'!D6*100</f>
        <v>-12.085879253321369</v>
      </c>
      <c r="E9" s="6">
        <f>(' Spices 2013-14(Final)'!E6-'3rd Spices 2013-14'!E6)/'3rd Spices 2013-14'!E6*100</f>
        <v>-10.611707958780976</v>
      </c>
      <c r="F9" s="6">
        <f>(' Spices 2013-14(Final)'!F6-'3rd Spices 2013-14'!F6)/'3rd Spices 2013-14'!F6*100</f>
        <v>-8.1107333657115017</v>
      </c>
      <c r="G9" s="6">
        <f>(' Spices 2013-14(Final)'!G6-'3rd Spices 2013-14'!G6)/'3rd Spices 2013-14'!G6*100</f>
        <v>3.2581453634085182</v>
      </c>
      <c r="H9" s="6">
        <f>(' Spices 2013-14(Final)'!H6-'3rd Spices 2013-14'!H6)/'3rd Spices 2013-14'!H6*100</f>
        <v>0.43103448275862249</v>
      </c>
      <c r="I9" s="6">
        <f>(' Spices 2013-14(Final)'!I6-'3rd Spices 2013-14'!I6)/'3rd Spices 2013-14'!I6*100</f>
        <v>2.2683084899546313</v>
      </c>
      <c r="J9" s="6">
        <f>(' Spices 2013-14(Final)'!J6-'3rd Spices 2013-14'!J6)/'3rd Spices 2013-14'!J6*100</f>
        <v>1.0020040080160284</v>
      </c>
      <c r="K9" s="6">
        <f>(' Spices 2013-14(Final)'!K6-'3rd Spices 2013-14'!K6)/'3rd Spices 2013-14'!K6*100</f>
        <v>2.4044844372326231</v>
      </c>
      <c r="L9" s="6"/>
      <c r="M9" s="6"/>
      <c r="N9" s="6">
        <f>(' Spices 2013-14(Final)'!N6-'3rd Spices 2013-14'!N6)/'3rd Spices 2013-14'!N6*100</f>
        <v>0.98974902792506592</v>
      </c>
      <c r="O9" s="6">
        <f>(' Spices 2013-14(Final)'!O6-'3rd Spices 2013-14'!O6)/'3rd Spices 2013-14'!O6*100</f>
        <v>7.3535353535353547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15">
        <f t="shared" si="0"/>
        <v>-23.150169186354663</v>
      </c>
      <c r="AK9" s="15">
        <f t="shared" si="0"/>
        <v>5.6777908109782818</v>
      </c>
    </row>
    <row r="10" spans="1:37" ht="15.75" x14ac:dyDescent="0.25">
      <c r="A10" s="5" t="s">
        <v>15</v>
      </c>
      <c r="B10" s="6"/>
      <c r="C10" s="6"/>
      <c r="D10" s="6">
        <f>(' Spices 2013-14(Final)'!D7-'3rd Spices 2013-14'!D7)/'3rd Spices 2013-14'!D7*100</f>
        <v>0</v>
      </c>
      <c r="E10" s="6">
        <f>(' Spices 2013-14(Final)'!E7-'3rd Spices 2013-14'!E7)/'3rd Spices 2013-14'!E7*100</f>
        <v>0</v>
      </c>
      <c r="F10" s="6">
        <f>(' Spices 2013-14(Final)'!F7-'3rd Spices 2013-14'!F7)/'3rd Spices 2013-14'!F7*100</f>
        <v>0</v>
      </c>
      <c r="G10" s="6">
        <f>(' Spices 2013-14(Final)'!G7-'3rd Spices 2013-14'!G7)/'3rd Spices 2013-14'!G7*100</f>
        <v>0</v>
      </c>
      <c r="H10" s="6">
        <f>(' Spices 2013-14(Final)'!H7-'3rd Spices 2013-14'!H7)/'3rd Spices 2013-14'!H7*100</f>
        <v>0</v>
      </c>
      <c r="I10" s="6">
        <f>(' Spices 2013-14(Final)'!I7-'3rd Spices 2013-14'!I7)/'3rd Spices 2013-14'!I7*100</f>
        <v>0</v>
      </c>
      <c r="J10" s="6">
        <f>(' Spices 2013-14(Final)'!J7-'3rd Spices 2013-14'!J7)/'3rd Spices 2013-14'!J7*100</f>
        <v>0</v>
      </c>
      <c r="K10" s="6">
        <f>(' Spices 2013-14(Final)'!K7-'3rd Spices 2013-14'!K7)/'3rd Spices 2013-14'!K7*100</f>
        <v>0</v>
      </c>
      <c r="L10" s="6"/>
      <c r="M10" s="6"/>
      <c r="N10" s="6">
        <f>(' Spices 2013-14(Final)'!N7-'3rd Spices 2013-14'!N7)/'3rd Spices 2013-14'!N7*100</f>
        <v>0</v>
      </c>
      <c r="O10" s="6">
        <f>(' Spices 2013-14(Final)'!O7-'3rd Spices 2013-14'!O7)/'3rd Spices 2013-14'!O7*100</f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15">
        <f t="shared" si="0"/>
        <v>0</v>
      </c>
      <c r="AK10" s="15">
        <f t="shared" si="0"/>
        <v>0</v>
      </c>
    </row>
    <row r="11" spans="1:37" ht="15.75" x14ac:dyDescent="0.25">
      <c r="A11" s="5" t="s">
        <v>55</v>
      </c>
      <c r="B11" s="6"/>
      <c r="C11" s="6"/>
      <c r="D11" s="6">
        <f>(' Spices 2013-14(Final)'!D8-'3rd Spices 2013-14'!D8)/'3rd Spices 2013-14'!D8*100</f>
        <v>-15.049816465652855</v>
      </c>
      <c r="E11" s="6">
        <f>(' Spices 2013-14(Final)'!E8-'3rd Spices 2013-14'!E8)/'3rd Spices 2013-14'!E8*100</f>
        <v>-23.275862068965512</v>
      </c>
      <c r="F11" s="6">
        <f>(' Spices 2013-14(Final)'!F8-'3rd Spices 2013-14'!F8)/'3rd Spices 2013-14'!F8*100</f>
        <v>-8.2417582417582445</v>
      </c>
      <c r="G11" s="6">
        <f>(' Spices 2013-14(Final)'!G8-'3rd Spices 2013-14'!G8)/'3rd Spices 2013-14'!G8*100</f>
        <v>-80.120481927710841</v>
      </c>
      <c r="H11" s="6">
        <f>(' Spices 2013-14(Final)'!H8-'3rd Spices 2013-14'!H8)/'3rd Spices 2013-14'!H8*100</f>
        <v>6.4516129032257989</v>
      </c>
      <c r="I11" s="6">
        <f>(' Spices 2013-14(Final)'!I8-'3rd Spices 2013-14'!I8)/'3rd Spices 2013-14'!I8*100</f>
        <v>2.4390243902439046</v>
      </c>
      <c r="J11" s="6">
        <f>(' Spices 2013-14(Final)'!J8-'3rd Spices 2013-14'!J8)/'3rd Spices 2013-14'!J8*100</f>
        <v>4.3478260869565259</v>
      </c>
      <c r="K11" s="6">
        <f>(' Spices 2013-14(Final)'!K8-'3rd Spices 2013-14'!K8)/'3rd Spices 2013-14'!K8*100</f>
        <v>3.5598705501618229</v>
      </c>
      <c r="L11" s="6"/>
      <c r="M11" s="6"/>
      <c r="N11" s="6">
        <f>(' Spices 2013-14(Final)'!N8-'3rd Spices 2013-14'!N8)/'3rd Spices 2013-14'!N8*100</f>
        <v>4.1958041958041994</v>
      </c>
      <c r="O11" s="6">
        <f>(' Spices 2013-14(Final)'!O8-'3rd Spices 2013-14'!O8)/'3rd Spices 2013-14'!O8*100</f>
        <v>-1.1904761904761916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15">
        <f t="shared" si="0"/>
        <v>-8.2963315214245732</v>
      </c>
      <c r="AK11" s="15">
        <f t="shared" si="0"/>
        <v>-98.587925246746821</v>
      </c>
    </row>
    <row r="12" spans="1:37" ht="15.75" x14ac:dyDescent="0.25">
      <c r="A12" s="5" t="s">
        <v>19</v>
      </c>
      <c r="B12" s="6">
        <f>(' Spices 2013-14(Final)'!B9-'3rd Spices 2013-14'!B9)/'3rd Spices 2013-14'!B9*100</f>
        <v>1.3698630136986314</v>
      </c>
      <c r="C12" s="6">
        <f>(' Spices 2013-14(Final)'!C9-'3rd Spices 2013-14'!C9)/'3rd Spices 2013-14'!C9*100</f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15">
        <f t="shared" si="0"/>
        <v>1.3698630136986314</v>
      </c>
      <c r="AK12" s="15">
        <f t="shared" si="0"/>
        <v>0</v>
      </c>
    </row>
    <row r="13" spans="1:37" ht="15.75" x14ac:dyDescent="0.25">
      <c r="A13" s="5" t="s">
        <v>20</v>
      </c>
      <c r="B13" s="6"/>
      <c r="C13" s="6"/>
      <c r="D13" s="6">
        <f>(' Spices 2013-14(Final)'!D10-'3rd Spices 2013-14'!D10)/'3rd Spices 2013-14'!D10*100</f>
        <v>0</v>
      </c>
      <c r="E13" s="6">
        <f>(' Spices 2013-14(Final)'!E10-'3rd Spices 2013-14'!E10)/'3rd Spices 2013-14'!E10*100</f>
        <v>0</v>
      </c>
      <c r="F13" s="6">
        <f>(' Spices 2013-14(Final)'!F10-'3rd Spices 2013-14'!F10)/'3rd Spices 2013-14'!F10*100</f>
        <v>0</v>
      </c>
      <c r="G13" s="6">
        <f>(' Spices 2013-14(Final)'!G10-'3rd Spices 2013-14'!G10)/'3rd Spices 2013-14'!G10*100</f>
        <v>0</v>
      </c>
      <c r="H13" s="6">
        <f>(' Spices 2013-14(Final)'!H10-'3rd Spices 2013-14'!H10)/'3rd Spices 2013-14'!H10*100</f>
        <v>0</v>
      </c>
      <c r="I13" s="6">
        <f>(' Spices 2013-14(Final)'!I10-'3rd Spices 2013-14'!I10)/'3rd Spices 2013-14'!I10*100</f>
        <v>0</v>
      </c>
      <c r="J13" s="6">
        <f>(' Spices 2013-14(Final)'!J10-'3rd Spices 2013-14'!J10)/'3rd Spices 2013-14'!J10*100</f>
        <v>0</v>
      </c>
      <c r="K13" s="6">
        <f>(' Spices 2013-14(Final)'!K10-'3rd Spices 2013-14'!K10)/'3rd Spices 2013-14'!K10*100</f>
        <v>0</v>
      </c>
      <c r="L13" s="6"/>
      <c r="M13" s="6"/>
      <c r="N13" s="6">
        <f>(' Spices 2013-14(Final)'!N10-'3rd Spices 2013-14'!N10)/'3rd Spices 2013-14'!N10*100</f>
        <v>0</v>
      </c>
      <c r="O13" s="6">
        <f>(' Spices 2013-14(Final)'!O10-'3rd Spices 2013-14'!O10)/'3rd Spices 2013-14'!O10*100</f>
        <v>0</v>
      </c>
      <c r="P13" s="6">
        <f>(' Spices 2013-14(Final)'!P10-'3rd Spices 2013-14'!P10)/'3rd Spices 2013-14'!P10*100</f>
        <v>0</v>
      </c>
      <c r="Q13" s="6">
        <f>(' Spices 2013-14(Final)'!Q10-'3rd Spices 2013-14'!Q10)/'3rd Spices 2013-14'!Q10*100</f>
        <v>0</v>
      </c>
      <c r="R13" s="6">
        <f>(' Spices 2013-14(Final)'!R10-'3rd Spices 2013-14'!R10)/'3rd Spices 2013-14'!R10*100</f>
        <v>0</v>
      </c>
      <c r="S13" s="6">
        <f>(' Spices 2013-14(Final)'!S10-'3rd Spices 2013-14'!S10)/'3rd Spices 2013-14'!S10*100</f>
        <v>0</v>
      </c>
      <c r="T13" s="6">
        <f>(' Spices 2013-14(Final)'!T10-'3rd Spices 2013-14'!T10)/'3rd Spices 2013-14'!T10*100</f>
        <v>0</v>
      </c>
      <c r="U13" s="6">
        <f>(' Spices 2013-14(Final)'!U10-'3rd Spices 2013-14'!U10)/'3rd Spices 2013-14'!U10*100</f>
        <v>0</v>
      </c>
      <c r="V13" s="6">
        <f>(' Spices 2013-14(Final)'!V10-'3rd Spices 2013-14'!V10)/'3rd Spices 2013-14'!V10*100</f>
        <v>0</v>
      </c>
      <c r="W13" s="6">
        <f>(' Spices 2013-14(Final)'!W10-'3rd Spices 2013-14'!W10)/'3rd Spices 2013-14'!W10*100</f>
        <v>0</v>
      </c>
      <c r="X13" s="6">
        <f>(' Spices 2013-14(Final)'!X10-'3rd Spices 2013-14'!X10)/'3rd Spices 2013-14'!X10*100</f>
        <v>0</v>
      </c>
      <c r="Y13" s="6">
        <f>(' Spices 2013-14(Final)'!Y10-'3rd Spices 2013-14'!Y10)/'3rd Spices 2013-14'!Y10*100</f>
        <v>0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15">
        <f t="shared" si="0"/>
        <v>0</v>
      </c>
      <c r="AK13" s="15">
        <f t="shared" si="0"/>
        <v>0</v>
      </c>
    </row>
    <row r="14" spans="1:37" ht="15.75" x14ac:dyDescent="0.25">
      <c r="A14" s="5" t="s">
        <v>21</v>
      </c>
      <c r="B14" s="6"/>
      <c r="C14" s="6"/>
      <c r="D14" s="6">
        <f>(' Spices 2013-14(Final)'!D11-'3rd Spices 2013-14'!D11)/'3rd Spices 2013-14'!D11*100</f>
        <v>0</v>
      </c>
      <c r="E14" s="6">
        <f>(' Spices 2013-14(Final)'!E11-'3rd Spices 2013-14'!E11)/'3rd Spices 2013-14'!E11*100</f>
        <v>0</v>
      </c>
      <c r="F14" s="6">
        <f>(' Spices 2013-14(Final)'!F11-'3rd Spices 2013-14'!F11)/'3rd Spices 2013-14'!F11*100</f>
        <v>0</v>
      </c>
      <c r="G14" s="6">
        <f>(' Spices 2013-14(Final)'!G11-'3rd Spices 2013-14'!G11)/'3rd Spices 2013-14'!G11*100</f>
        <v>0</v>
      </c>
      <c r="H14" s="6">
        <f>(' Spices 2013-14(Final)'!H11-'3rd Spices 2013-14'!H11)/'3rd Spices 2013-14'!H11*100</f>
        <v>0</v>
      </c>
      <c r="I14" s="6">
        <f>(' Spices 2013-14(Final)'!I11-'3rd Spices 2013-14'!I11)/'3rd Spices 2013-14'!I11*100</f>
        <v>0</v>
      </c>
      <c r="J14" s="6">
        <f>(' Spices 2013-14(Final)'!J11-'3rd Spices 2013-14'!J11)/'3rd Spices 2013-14'!J11*100</f>
        <v>0</v>
      </c>
      <c r="K14" s="6">
        <f>(' Spices 2013-14(Final)'!K11-'3rd Spices 2013-14'!K11)/'3rd Spices 2013-14'!K11*100</f>
        <v>0</v>
      </c>
      <c r="L14" s="6"/>
      <c r="M14" s="6"/>
      <c r="N14" s="6">
        <f>(' Spices 2013-14(Final)'!N11-'3rd Spices 2013-14'!N11)/'3rd Spices 2013-14'!N11*100</f>
        <v>0</v>
      </c>
      <c r="O14" s="6">
        <f>(' Spices 2013-14(Final)'!O11-'3rd Spices 2013-14'!O11)/'3rd Spices 2013-14'!O11*100</f>
        <v>0</v>
      </c>
      <c r="P14" s="6"/>
      <c r="Q14" s="6"/>
      <c r="R14" s="6">
        <f>(' Spices 2013-14(Final)'!R11-'3rd Spices 2013-14'!R11)/'3rd Spices 2013-14'!R11*100</f>
        <v>0</v>
      </c>
      <c r="S14" s="6">
        <f>(' Spices 2013-14(Final)'!S11-'3rd Spices 2013-14'!S11)/'3rd Spices 2013-14'!S11*100</f>
        <v>0</v>
      </c>
      <c r="T14" s="6">
        <f>(' Spices 2013-14(Final)'!T11-'3rd Spices 2013-14'!T11)/'3rd Spices 2013-14'!T11*100</f>
        <v>0</v>
      </c>
      <c r="U14" s="6">
        <f>(' Spices 2013-14(Final)'!U11-'3rd Spices 2013-14'!U11)/'3rd Spices 2013-14'!U11*100</f>
        <v>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5">
        <f t="shared" si="0"/>
        <v>0</v>
      </c>
      <c r="AK14" s="15">
        <f t="shared" si="0"/>
        <v>0</v>
      </c>
    </row>
    <row r="15" spans="1:37" ht="15.75" x14ac:dyDescent="0.25">
      <c r="A15" s="5" t="s">
        <v>22</v>
      </c>
      <c r="B15" s="6"/>
      <c r="C15" s="6"/>
      <c r="D15" s="6">
        <f>(' Spices 2013-14(Final)'!D12-'3rd Spices 2013-14'!D12)/'3rd Spices 2013-14'!D12*100</f>
        <v>0</v>
      </c>
      <c r="E15" s="6">
        <f>(' Spices 2013-14(Final)'!E12-'3rd Spices 2013-14'!E12)/'3rd Spices 2013-14'!E12*100</f>
        <v>0</v>
      </c>
      <c r="F15" s="6">
        <f>(' Spices 2013-14(Final)'!F12-'3rd Spices 2013-14'!F12)/'3rd Spices 2013-14'!F12*100</f>
        <v>0</v>
      </c>
      <c r="G15" s="6">
        <f>(' Spices 2013-14(Final)'!G12-'3rd Spices 2013-14'!G12)/'3rd Spices 2013-14'!G12*100</f>
        <v>0</v>
      </c>
      <c r="H15" s="6">
        <f>(' Spices 2013-14(Final)'!H12-'3rd Spices 2013-14'!H12)/'3rd Spices 2013-14'!H12*100</f>
        <v>0</v>
      </c>
      <c r="I15" s="6">
        <f>(' Spices 2013-14(Final)'!I12-'3rd Spices 2013-14'!I12)/'3rd Spices 2013-14'!I12*100</f>
        <v>0</v>
      </c>
      <c r="J15" s="6">
        <f>(' Spices 2013-14(Final)'!J12-'3rd Spices 2013-14'!J12)/'3rd Spices 2013-14'!J12*100</f>
        <v>0</v>
      </c>
      <c r="K15" s="6">
        <f>(' Spices 2013-14(Final)'!K12-'3rd Spices 2013-14'!K12)/'3rd Spices 2013-14'!K12*100</f>
        <v>0</v>
      </c>
      <c r="L15" s="6"/>
      <c r="M15" s="6"/>
      <c r="N15" s="6">
        <f>(' Spices 2013-14(Final)'!N12-'3rd Spices 2013-14'!N12)/'3rd Spices 2013-14'!N12*100</f>
        <v>0</v>
      </c>
      <c r="O15" s="6">
        <f>(' Spices 2013-14(Final)'!O12-'3rd Spices 2013-14'!O12)/'3rd Spices 2013-14'!O12*100</f>
        <v>0</v>
      </c>
      <c r="P15" s="6">
        <f>(' Spices 2013-14(Final)'!P12-'3rd Spices 2013-14'!P12)/'3rd Spices 2013-14'!P12*100</f>
        <v>0</v>
      </c>
      <c r="Q15" s="6">
        <f>(' Spices 2013-14(Final)'!Q12-'3rd Spices 2013-14'!Q12)/'3rd Spices 2013-14'!Q12*100</f>
        <v>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15">
        <f t="shared" si="0"/>
        <v>0</v>
      </c>
      <c r="AK15" s="15">
        <f t="shared" si="0"/>
        <v>0</v>
      </c>
    </row>
    <row r="16" spans="1:37" ht="15.75" x14ac:dyDescent="0.25">
      <c r="A16" s="5" t="s">
        <v>23</v>
      </c>
      <c r="B16" s="6"/>
      <c r="C16" s="6"/>
      <c r="D16" s="6">
        <f>(' Spices 2013-14(Final)'!D13-'3rd Spices 2013-14'!D13)/'3rd Spices 2013-14'!D13*100</f>
        <v>0</v>
      </c>
      <c r="E16" s="6">
        <f>(' Spices 2013-14(Final)'!E13-'3rd Spices 2013-14'!E13)/'3rd Spices 2013-14'!E13*100</f>
        <v>0</v>
      </c>
      <c r="F16" s="6">
        <f>(' Spices 2013-14(Final)'!F13-'3rd Spices 2013-14'!F13)/'3rd Spices 2013-14'!F13*100</f>
        <v>0</v>
      </c>
      <c r="G16" s="6">
        <f>(' Spices 2013-14(Final)'!G13-'3rd Spices 2013-14'!G13)/'3rd Spices 2013-14'!G13*100</f>
        <v>0</v>
      </c>
      <c r="H16" s="6">
        <f>(' Spices 2013-14(Final)'!H13-'3rd Spices 2013-14'!H13)/'3rd Spices 2013-14'!H13*100</f>
        <v>0</v>
      </c>
      <c r="I16" s="6">
        <f>(' Spices 2013-14(Final)'!I13-'3rd Spices 2013-14'!I13)/'3rd Spices 2013-14'!I13*100</f>
        <v>0</v>
      </c>
      <c r="J16" s="6">
        <f>(' Spices 2013-14(Final)'!J13-'3rd Spices 2013-14'!J13)/'3rd Spices 2013-14'!J13*100</f>
        <v>0</v>
      </c>
      <c r="K16" s="6">
        <f>(' Spices 2013-14(Final)'!K13-'3rd Spices 2013-14'!K13)/'3rd Spices 2013-14'!K13*100</f>
        <v>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>
        <f>(' Spices 2013-14(Final)'!AH13-'3rd Spices 2013-14'!AH13)/'3rd Spices 2013-14'!AH13*100</f>
        <v>0</v>
      </c>
      <c r="AI16" s="6">
        <f>(' Spices 2013-14(Final)'!AI13-'3rd Spices 2013-14'!AI13)/'3rd Spices 2013-14'!AI13*100</f>
        <v>0</v>
      </c>
      <c r="AJ16" s="15">
        <f t="shared" si="0"/>
        <v>0</v>
      </c>
      <c r="AK16" s="15">
        <f t="shared" si="0"/>
        <v>0</v>
      </c>
    </row>
    <row r="17" spans="1:37" ht="15.75" x14ac:dyDescent="0.25">
      <c r="A17" s="5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15">
        <f t="shared" si="0"/>
        <v>0</v>
      </c>
      <c r="AK17" s="15">
        <f t="shared" si="0"/>
        <v>0</v>
      </c>
    </row>
    <row r="18" spans="1:37" ht="15.75" x14ac:dyDescent="0.25">
      <c r="A18" s="5" t="s">
        <v>161</v>
      </c>
      <c r="B18" s="6">
        <f>(' Spices 2013-14(Final)'!B15-'3rd Spices 2013-14'!B15)/'3rd Spices 2013-14'!B15*100</f>
        <v>8.7692307692307736</v>
      </c>
      <c r="C18" s="6">
        <f>(' Spices 2013-14(Final)'!C15-'3rd Spices 2013-14'!C15)/'3rd Spices 2013-14'!C15*100</f>
        <v>33.388704318936874</v>
      </c>
      <c r="D18" s="6">
        <f>(' Spices 2013-14(Final)'!D15-'3rd Spices 2013-14'!D15)/'3rd Spices 2013-14'!D15*100</f>
        <v>-21.444999999999997</v>
      </c>
      <c r="E18" s="6">
        <f>(' Spices 2013-14(Final)'!E15-'3rd Spices 2013-14'!E15)/'3rd Spices 2013-14'!E15*100</f>
        <v>-28.500000000000004</v>
      </c>
      <c r="F18" s="6">
        <f>(' Spices 2013-14(Final)'!F15-'3rd Spices 2013-14'!F15)/'3rd Spices 2013-14'!F15*100</f>
        <v>-11.089049935471063</v>
      </c>
      <c r="G18" s="6">
        <f>(' Spices 2013-14(Final)'!G15-'3rd Spices 2013-14'!G15)/'3rd Spices 2013-14'!G15*100</f>
        <v>4.2523364485981281</v>
      </c>
      <c r="H18" s="6">
        <f>(' Spices 2013-14(Final)'!H15-'3rd Spices 2013-14'!H15)/'3rd Spices 2013-14'!H15*100</f>
        <v>-13.167701863354042</v>
      </c>
      <c r="I18" s="6">
        <f>(' Spices 2013-14(Final)'!I15-'3rd Spices 2013-14'!I15)/'3rd Spices 2013-14'!I15*100</f>
        <v>-34.590000000000003</v>
      </c>
      <c r="J18" s="6">
        <f>(' Spices 2013-14(Final)'!J15-'3rd Spices 2013-14'!J15)/'3rd Spices 2013-14'!J15*100</f>
        <v>12.085308056872055</v>
      </c>
      <c r="K18" s="6">
        <f>(' Spices 2013-14(Final)'!K15-'3rd Spices 2013-14'!K15)/'3rd Spices 2013-14'!K15*100</f>
        <v>87.1111111111111</v>
      </c>
      <c r="L18" s="6">
        <f>(' Spices 2013-14(Final)'!L15-'3rd Spices 2013-14'!L15)/'3rd Spices 2013-14'!L15*100</f>
        <v>-25.518341307814989</v>
      </c>
      <c r="M18" s="6">
        <f>(' Spices 2013-14(Final)'!M15-'3rd Spices 2013-14'!M15)/'3rd Spices 2013-14'!M15*100</f>
        <v>60.638297872340438</v>
      </c>
      <c r="N18" s="6">
        <f>(' Spices 2013-14(Final)'!N15-'3rd Spices 2013-14'!N15)/'3rd Spices 2013-14'!N15*100</f>
        <v>-72.888888888888886</v>
      </c>
      <c r="O18" s="6">
        <f>(' Spices 2013-14(Final)'!O15-'3rd Spices 2013-14'!O15)/'3rd Spices 2013-14'!O15*100</f>
        <v>-88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>
        <f>(' Spices 2013-14(Final)'!Z15-'3rd Spices 2013-14'!Z15)/'3rd Spices 2013-14'!Z15*100</f>
        <v>0</v>
      </c>
      <c r="AA18" s="6">
        <f>(' Spices 2013-14(Final)'!AA15-'3rd Spices 2013-14'!AA15)/'3rd Spices 2013-14'!AA15*100</f>
        <v>0</v>
      </c>
      <c r="AB18" s="6">
        <f>(' Spices 2013-14(Final)'!AB15-'3rd Spices 2013-14'!AB15)/'3rd Spices 2013-14'!AB15*100</f>
        <v>0</v>
      </c>
      <c r="AC18" s="6">
        <f>(' Spices 2013-14(Final)'!AC15-'3rd Spices 2013-14'!AC15)/'3rd Spices 2013-14'!AC15*100</f>
        <v>0</v>
      </c>
      <c r="AD18" s="6">
        <f>(' Spices 2013-14(Final)'!AD15-'3rd Spices 2013-14'!AD15)/'3rd Spices 2013-14'!AD15*100</f>
        <v>0</v>
      </c>
      <c r="AE18" s="6">
        <f>(' Spices 2013-14(Final)'!AE15-'3rd Spices 2013-14'!AE15)/'3rd Spices 2013-14'!AE15*100</f>
        <v>0</v>
      </c>
      <c r="AF18" s="6">
        <f>(' Spices 2013-14(Final)'!AF15-'3rd Spices 2013-14'!AF15)/'3rd Spices 2013-14'!AF15*100</f>
        <v>0</v>
      </c>
      <c r="AG18" s="6">
        <f>(' Spices 2013-14(Final)'!AG15-'3rd Spices 2013-14'!AG15)/'3rd Spices 2013-14'!AG15*100</f>
        <v>0</v>
      </c>
      <c r="AH18" s="6">
        <f>(' Spices 2013-14(Final)'!AH15-'3rd Spices 2013-14'!AH15)/'3rd Spices 2013-14'!AH15*100</f>
        <v>0</v>
      </c>
      <c r="AI18" s="6">
        <f>(' Spices 2013-14(Final)'!AI15-'3rd Spices 2013-14'!AI15)/'3rd Spices 2013-14'!AI15*100</f>
        <v>0</v>
      </c>
      <c r="AJ18" s="15">
        <f t="shared" si="0"/>
        <v>-123.25444316942614</v>
      </c>
      <c r="AK18" s="15">
        <f t="shared" si="0"/>
        <v>34.30044975098653</v>
      </c>
    </row>
    <row r="19" spans="1:37" ht="15.75" x14ac:dyDescent="0.25">
      <c r="A19" s="5" t="s">
        <v>26</v>
      </c>
      <c r="B19" s="6">
        <f>(' Spices 2013-14(Final)'!B16-'3rd Spices 2013-14'!B16)/'3rd Spices 2013-14'!B16*100</f>
        <v>0</v>
      </c>
      <c r="C19" s="6">
        <f>(' Spices 2013-14(Final)'!C16-'3rd Spices 2013-14'!C16)/'3rd Spices 2013-14'!C16*100</f>
        <v>0</v>
      </c>
      <c r="D19" s="6">
        <f>(' Spices 2013-14(Final)'!D16-'3rd Spices 2013-14'!D16)/'3rd Spices 2013-14'!D16*100</f>
        <v>0</v>
      </c>
      <c r="E19" s="6">
        <f>(' Spices 2013-14(Final)'!E16-'3rd Spices 2013-14'!E16)/'3rd Spices 2013-14'!E16*100</f>
        <v>0</v>
      </c>
      <c r="F19" s="6">
        <f>(' Spices 2013-14(Final)'!F16-'3rd Spices 2013-14'!F16)/'3rd Spices 2013-14'!F16*100</f>
        <v>0</v>
      </c>
      <c r="G19" s="6">
        <f>(' Spices 2013-14(Final)'!G16-'3rd Spices 2013-14'!G16)/'3rd Spices 2013-14'!G16*100</f>
        <v>0</v>
      </c>
      <c r="H19" s="6">
        <f>(' Spices 2013-14(Final)'!H16-'3rd Spices 2013-14'!H16)/'3rd Spices 2013-14'!H16*100</f>
        <v>0</v>
      </c>
      <c r="I19" s="6">
        <f>(' Spices 2013-14(Final)'!I16-'3rd Spices 2013-14'!I16)/'3rd Spices 2013-14'!I16*100</f>
        <v>0</v>
      </c>
      <c r="J19" s="6">
        <f>(' Spices 2013-14(Final)'!J16-'3rd Spices 2013-14'!J16)/'3rd Spices 2013-14'!J16*100</f>
        <v>0</v>
      </c>
      <c r="K19" s="6">
        <f>(' Spices 2013-14(Final)'!K16-'3rd Spices 2013-14'!K16)/'3rd Spices 2013-14'!K16*100</f>
        <v>0</v>
      </c>
      <c r="L19" s="6">
        <f>(' Spices 2013-14(Final)'!L16-'3rd Spices 2013-14'!L16)/'3rd Spices 2013-14'!L16*100</f>
        <v>0</v>
      </c>
      <c r="M19" s="6">
        <f>(' Spices 2013-14(Final)'!M16-'3rd Spices 2013-14'!M16)/'3rd Spices 2013-14'!M16*100</f>
        <v>0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>
        <f>(' Spices 2013-14(Final)'!Z16-'3rd Spices 2013-14'!Z16)/'3rd Spices 2013-14'!Z16*100</f>
        <v>0</v>
      </c>
      <c r="AA19" s="6"/>
      <c r="AB19" s="6">
        <f>(' Spices 2013-14(Final)'!AB16-'3rd Spices 2013-14'!AB16)/'3rd Spices 2013-14'!AB16*100</f>
        <v>0</v>
      </c>
      <c r="AC19" s="6">
        <f>(' Spices 2013-14(Final)'!AC16-'3rd Spices 2013-14'!AC16)/'3rd Spices 2013-14'!AC16*100</f>
        <v>0</v>
      </c>
      <c r="AD19" s="6">
        <f>(' Spices 2013-14(Final)'!AD16-'3rd Spices 2013-14'!AD16)/'3rd Spices 2013-14'!AD16*100</f>
        <v>0</v>
      </c>
      <c r="AE19" s="6">
        <f>(' Spices 2013-14(Final)'!AE16-'3rd Spices 2013-14'!AE16)/'3rd Spices 2013-14'!AE16*100</f>
        <v>0</v>
      </c>
      <c r="AF19" s="6">
        <f>(' Spices 2013-14(Final)'!AF16-'3rd Spices 2013-14'!AF16)/'3rd Spices 2013-14'!AF16*100</f>
        <v>0</v>
      </c>
      <c r="AG19" s="6">
        <f>(' Spices 2013-14(Final)'!AG16-'3rd Spices 2013-14'!AG16)/'3rd Spices 2013-14'!AG16*100</f>
        <v>0</v>
      </c>
      <c r="AH19" s="6">
        <f>(' Spices 2013-14(Final)'!AH16-'3rd Spices 2013-14'!AH16)/'3rd Spices 2013-14'!AH16*100</f>
        <v>0</v>
      </c>
      <c r="AI19" s="6">
        <f>(' Spices 2013-14(Final)'!AI16-'3rd Spices 2013-14'!AI16)/'3rd Spices 2013-14'!AI16*100</f>
        <v>0</v>
      </c>
      <c r="AJ19" s="15">
        <f t="shared" si="0"/>
        <v>0</v>
      </c>
      <c r="AK19" s="15">
        <f t="shared" si="0"/>
        <v>0</v>
      </c>
    </row>
    <row r="20" spans="1:37" ht="15.75" x14ac:dyDescent="0.25">
      <c r="A20" s="5" t="s">
        <v>27</v>
      </c>
      <c r="B20" s="6"/>
      <c r="C20" s="6"/>
      <c r="D20" s="6">
        <f>(' Spices 2013-14(Final)'!D17-'3rd Spices 2013-14'!D17)/'3rd Spices 2013-14'!D17*100</f>
        <v>0</v>
      </c>
      <c r="E20" s="6">
        <f>(' Spices 2013-14(Final)'!E17-'3rd Spices 2013-14'!E17)/'3rd Spices 2013-14'!E17*100</f>
        <v>0</v>
      </c>
      <c r="F20" s="6">
        <f>(' Spices 2013-14(Final)'!F17-'3rd Spices 2013-14'!F17)/'3rd Spices 2013-14'!F17*100</f>
        <v>0</v>
      </c>
      <c r="G20" s="6">
        <f>(' Spices 2013-14(Final)'!G17-'3rd Spices 2013-14'!G17)/'3rd Spices 2013-14'!G17*100</f>
        <v>0</v>
      </c>
      <c r="H20" s="6">
        <f>(' Spices 2013-14(Final)'!H17-'3rd Spices 2013-14'!H17)/'3rd Spices 2013-14'!H17*100</f>
        <v>0</v>
      </c>
      <c r="I20" s="6">
        <f>(' Spices 2013-14(Final)'!I17-'3rd Spices 2013-14'!I17)/'3rd Spices 2013-14'!I17*100</f>
        <v>0</v>
      </c>
      <c r="J20" s="6">
        <f>(' Spices 2013-14(Final)'!J17-'3rd Spices 2013-14'!J17)/'3rd Spices 2013-14'!J17*100</f>
        <v>0</v>
      </c>
      <c r="K20" s="6">
        <f>(' Spices 2013-14(Final)'!K17-'3rd Spices 2013-14'!K17)/'3rd Spices 2013-14'!K17*100</f>
        <v>0</v>
      </c>
      <c r="L20" s="6"/>
      <c r="M20" s="6"/>
      <c r="N20" s="6">
        <f>(' Spices 2013-14(Final)'!N17-'3rd Spices 2013-14'!N17)/'3rd Spices 2013-14'!N17*100</f>
        <v>0</v>
      </c>
      <c r="O20" s="6">
        <f>(' Spices 2013-14(Final)'!O17-'3rd Spices 2013-14'!O17)/'3rd Spices 2013-14'!O17*100</f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15">
        <f t="shared" si="0"/>
        <v>0</v>
      </c>
      <c r="AK20" s="15">
        <f t="shared" si="0"/>
        <v>0</v>
      </c>
    </row>
    <row r="21" spans="1:37" ht="15.75" x14ac:dyDescent="0.25">
      <c r="A21" s="5" t="s">
        <v>28</v>
      </c>
      <c r="B21" s="6"/>
      <c r="C21" s="6"/>
      <c r="D21" s="6">
        <f>(' Spices 2013-14(Final)'!D18-'3rd Spices 2013-14'!D18)/'3rd Spices 2013-14'!D18*100</f>
        <v>0</v>
      </c>
      <c r="E21" s="6">
        <f>(' Spices 2013-14(Final)'!E18-'3rd Spices 2013-14'!E18)/'3rd Spices 2013-14'!E18*100</f>
        <v>0</v>
      </c>
      <c r="F21" s="6">
        <f>(' Spices 2013-14(Final)'!F18-'3rd Spices 2013-14'!F18)/'3rd Spices 2013-14'!F18*100</f>
        <v>0</v>
      </c>
      <c r="G21" s="6">
        <f>(' Spices 2013-14(Final)'!G18-'3rd Spices 2013-14'!G18)/'3rd Spices 2013-14'!G18*100</f>
        <v>0</v>
      </c>
      <c r="H21" s="6">
        <f>(' Spices 2013-14(Final)'!H18-'3rd Spices 2013-14'!H18)/'3rd Spices 2013-14'!H18*100</f>
        <v>0</v>
      </c>
      <c r="I21" s="6">
        <f>(' Spices 2013-14(Final)'!I18-'3rd Spices 2013-14'!I18)/'3rd Spices 2013-14'!I18*100</f>
        <v>0</v>
      </c>
      <c r="J21" s="6">
        <f>(' Spices 2013-14(Final)'!J18-'3rd Spices 2013-14'!J18)/'3rd Spices 2013-14'!J18*100</f>
        <v>0</v>
      </c>
      <c r="K21" s="6">
        <f>(' Spices 2013-14(Final)'!K18-'3rd Spices 2013-14'!K18)/'3rd Spices 2013-14'!K18*100</f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>(' Spices 2013-14(Final)'!AF18-'3rd Spices 2013-14'!AF18)/'3rd Spices 2013-14'!AF18*100</f>
        <v>0</v>
      </c>
      <c r="AG21" s="6">
        <f>(' Spices 2013-14(Final)'!AG18-'3rd Spices 2013-14'!AG18)/'3rd Spices 2013-14'!AG18*100</f>
        <v>0</v>
      </c>
      <c r="AH21" s="6"/>
      <c r="AI21" s="6"/>
      <c r="AJ21" s="15">
        <f t="shared" si="0"/>
        <v>0</v>
      </c>
      <c r="AK21" s="15">
        <f t="shared" si="0"/>
        <v>0</v>
      </c>
    </row>
    <row r="22" spans="1:37" ht="15.75" x14ac:dyDescent="0.25">
      <c r="A22" s="16" t="s">
        <v>29</v>
      </c>
      <c r="B22" s="6"/>
      <c r="C22" s="6"/>
      <c r="D22" s="6">
        <f>(' Spices 2013-14(Final)'!D19-'3rd Spices 2013-14'!D19)/'3rd Spices 2013-14'!D19*100</f>
        <v>0</v>
      </c>
      <c r="E22" s="6">
        <f>(' Spices 2013-14(Final)'!E19-'3rd Spices 2013-14'!E19)/'3rd Spices 2013-14'!E19*100</f>
        <v>0</v>
      </c>
      <c r="F22" s="6">
        <f>(' Spices 2013-14(Final)'!F19-'3rd Spices 2013-14'!F19)/'3rd Spices 2013-14'!F19*100</f>
        <v>0</v>
      </c>
      <c r="G22" s="6">
        <f>(' Spices 2013-14(Final)'!G19-'3rd Spices 2013-14'!G19)/'3rd Spices 2013-14'!G19*100</f>
        <v>0</v>
      </c>
      <c r="H22" s="6">
        <f>(' Spices 2013-14(Final)'!H19-'3rd Spices 2013-14'!H19)/'3rd Spices 2013-14'!H19*100</f>
        <v>0</v>
      </c>
      <c r="I22" s="6">
        <f>(' Spices 2013-14(Final)'!I19-'3rd Spices 2013-14'!I19)/'3rd Spices 2013-14'!I19*100</f>
        <v>0</v>
      </c>
      <c r="J22" s="6">
        <f>(' Spices 2013-14(Final)'!J19-'3rd Spices 2013-14'!J19)/'3rd Spices 2013-14'!J19*100</f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15">
        <f t="shared" si="0"/>
        <v>0</v>
      </c>
      <c r="AK22" s="15">
        <f t="shared" si="0"/>
        <v>0</v>
      </c>
    </row>
    <row r="23" spans="1:37" ht="15.75" x14ac:dyDescent="0.25">
      <c r="A23" s="5" t="s">
        <v>30</v>
      </c>
      <c r="B23" s="6">
        <f>(' Spices 2013-14(Final)'!B20-'3rd Spices 2013-14'!B20)/'3rd Spices 2013-14'!B20*100</f>
        <v>9.1954022988505706</v>
      </c>
      <c r="C23" s="6">
        <f>(' Spices 2013-14(Final)'!C20-'3rd Spices 2013-14'!C20)/'3rd Spices 2013-14'!C20*100</f>
        <v>39.130434782608688</v>
      </c>
      <c r="D23" s="6">
        <f>(' Spices 2013-14(Final)'!D20-'3rd Spices 2013-14'!D20)/'3rd Spices 2013-14'!D20*100</f>
        <v>-3.5800000000000054</v>
      </c>
      <c r="E23" s="6">
        <f>(' Spices 2013-14(Final)'!E20-'3rd Spices 2013-14'!E20)/'3rd Spices 2013-14'!E20*100</f>
        <v>10.897887323943671</v>
      </c>
      <c r="F23" s="6">
        <f>(' Spices 2013-14(Final)'!F20-'3rd Spices 2013-14'!F20)/'3rd Spices 2013-14'!F20*100</f>
        <v>8.6486486486486331</v>
      </c>
      <c r="G23" s="6">
        <f>(' Spices 2013-14(Final)'!G20-'3rd Spices 2013-14'!G20)/'3rd Spices 2013-14'!G20*100</f>
        <v>10.638297872340436</v>
      </c>
      <c r="H23" s="6">
        <f>(' Spices 2013-14(Final)'!H20-'3rd Spices 2013-14'!H20)/'3rd Spices 2013-14'!H20*100</f>
        <v>11.855670103092782</v>
      </c>
      <c r="I23" s="6">
        <f>(' Spices 2013-14(Final)'!I20-'3rd Spices 2013-14'!I20)/'3rd Spices 2013-14'!I20*100</f>
        <v>25.551102204408803</v>
      </c>
      <c r="J23" s="6">
        <f>(' Spices 2013-14(Final)'!J20-'3rd Spices 2013-14'!J20)/'3rd Spices 2013-14'!J20*100</f>
        <v>0</v>
      </c>
      <c r="K23" s="6">
        <f>(' Spices 2013-14(Final)'!K20-'3rd Spices 2013-14'!K20)/'3rd Spices 2013-14'!K20*100</f>
        <v>0</v>
      </c>
      <c r="L23" s="6"/>
      <c r="M23" s="6"/>
      <c r="N23" s="6">
        <f>(' Spices 2013-14(Final)'!N20-'3rd Spices 2013-14'!N20)/'3rd Spices 2013-14'!N20*100</f>
        <v>0</v>
      </c>
      <c r="O23" s="6">
        <f>(' Spices 2013-14(Final)'!O20-'3rd Spices 2013-14'!O20)/'3rd Spices 2013-14'!O20*100</f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>
        <f>(' Spices 2013-14(Final)'!Z20-'3rd Spices 2013-14'!Z20)/'3rd Spices 2013-14'!Z20*100</f>
        <v>0</v>
      </c>
      <c r="AA23" s="6">
        <f>(' Spices 2013-14(Final)'!AA20-'3rd Spices 2013-14'!AA20)/'3rd Spices 2013-14'!AA20*100</f>
        <v>0</v>
      </c>
      <c r="AB23" s="6"/>
      <c r="AC23" s="6"/>
      <c r="AD23" s="6"/>
      <c r="AE23" s="6"/>
      <c r="AF23" s="6"/>
      <c r="AG23" s="6"/>
      <c r="AH23" s="6"/>
      <c r="AI23" s="6"/>
      <c r="AJ23" s="15">
        <f t="shared" si="0"/>
        <v>26.119721050591981</v>
      </c>
      <c r="AK23" s="15">
        <f t="shared" si="0"/>
        <v>86.217722183301603</v>
      </c>
    </row>
    <row r="24" spans="1:37" ht="15.75" x14ac:dyDescent="0.25">
      <c r="A24" s="5" t="s">
        <v>31</v>
      </c>
      <c r="B24" s="6">
        <f>(' Spices 2013-14(Final)'!B21-'3rd Spices 2013-14'!B21)/'3rd Spices 2013-14'!B21*100</f>
        <v>0</v>
      </c>
      <c r="C24" s="6">
        <f>(' Spices 2013-14(Final)'!C21-'3rd Spices 2013-14'!C21)/'3rd Spices 2013-14'!C21*100</f>
        <v>0</v>
      </c>
      <c r="D24" s="6">
        <f>(' Spices 2013-14(Final)'!D21-'3rd Spices 2013-14'!D21)/'3rd Spices 2013-14'!D21*100</f>
        <v>0</v>
      </c>
      <c r="E24" s="6">
        <f>(' Spices 2013-14(Final)'!E21-'3rd Spices 2013-14'!E21)/'3rd Spices 2013-14'!E21*100</f>
        <v>0</v>
      </c>
      <c r="F24" s="6">
        <f>(' Spices 2013-14(Final)'!F21-'3rd Spices 2013-14'!F21)/'3rd Spices 2013-14'!F21*100</f>
        <v>0</v>
      </c>
      <c r="G24" s="6">
        <f>(' Spices 2013-14(Final)'!G21-'3rd Spices 2013-14'!G21)/'3rd Spices 2013-14'!G21*100</f>
        <v>0</v>
      </c>
      <c r="H24" s="6">
        <f>(' Spices 2013-14(Final)'!H21-'3rd Spices 2013-14'!H21)/'3rd Spices 2013-14'!H21*100</f>
        <v>0</v>
      </c>
      <c r="I24" s="6">
        <f>(' Spices 2013-14(Final)'!I21-'3rd Spices 2013-14'!I21)/'3rd Spices 2013-14'!I21*100</f>
        <v>0</v>
      </c>
      <c r="J24" s="6">
        <f>(' Spices 2013-14(Final)'!J21-'3rd Spices 2013-14'!J21)/'3rd Spices 2013-14'!J21*100</f>
        <v>0</v>
      </c>
      <c r="K24" s="6">
        <f>(' Spices 2013-14(Final)'!K21-'3rd Spices 2013-14'!K21)/'3rd Spices 2013-14'!K21*100</f>
        <v>0</v>
      </c>
      <c r="L24" s="6"/>
      <c r="M24" s="6"/>
      <c r="N24" s="6">
        <f>(' Spices 2013-14(Final)'!N21-'3rd Spices 2013-14'!N21)/'3rd Spices 2013-14'!N21*100</f>
        <v>0</v>
      </c>
      <c r="O24" s="6">
        <f>(' Spices 2013-14(Final)'!O21-'3rd Spices 2013-14'!O21)/'3rd Spices 2013-14'!O21*100</f>
        <v>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15">
        <f t="shared" si="0"/>
        <v>0</v>
      </c>
      <c r="AK24" s="15">
        <f t="shared" si="0"/>
        <v>0</v>
      </c>
    </row>
    <row r="25" spans="1:37" ht="15.75" x14ac:dyDescent="0.25">
      <c r="A25" s="7" t="s">
        <v>32</v>
      </c>
      <c r="B25" s="6">
        <f>(' Spices 2013-14(Final)'!B22-'3rd Spices 2013-14'!B22)/'3rd Spices 2013-14'!B22*100</f>
        <v>0</v>
      </c>
      <c r="C25" s="6">
        <f>(' Spices 2013-14(Final)'!C22-'3rd Spices 2013-14'!C22)/'3rd Spices 2013-14'!C22*100</f>
        <v>0</v>
      </c>
      <c r="D25" s="6">
        <f>(' Spices 2013-14(Final)'!D22-'3rd Spices 2013-14'!D22)/'3rd Spices 2013-14'!D22*100</f>
        <v>0</v>
      </c>
      <c r="E25" s="6">
        <f>(' Spices 2013-14(Final)'!E22-'3rd Spices 2013-14'!E22)/'3rd Spices 2013-14'!E22*100</f>
        <v>0</v>
      </c>
      <c r="F25" s="6">
        <f>(' Spices 2013-14(Final)'!F22-'3rd Spices 2013-14'!F22)/'3rd Spices 2013-14'!F22*100</f>
        <v>0</v>
      </c>
      <c r="G25" s="6">
        <f>(' Spices 2013-14(Final)'!G22-'3rd Spices 2013-14'!G22)/'3rd Spices 2013-14'!G22*100</f>
        <v>0</v>
      </c>
      <c r="H25" s="6">
        <f>(' Spices 2013-14(Final)'!H22-'3rd Spices 2013-14'!H22)/'3rd Spices 2013-14'!H22*100</f>
        <v>0</v>
      </c>
      <c r="I25" s="6">
        <f>(' Spices 2013-14(Final)'!I22-'3rd Spices 2013-14'!I22)/'3rd Spices 2013-14'!I22*100</f>
        <v>0</v>
      </c>
      <c r="J25" s="6">
        <f>(' Spices 2013-14(Final)'!J22-'3rd Spices 2013-14'!J22)/'3rd Spices 2013-14'!J22*100</f>
        <v>0</v>
      </c>
      <c r="K25" s="6">
        <f>(' Spices 2013-14(Final)'!K22-'3rd Spices 2013-14'!K22)/'3rd Spices 2013-14'!K22*100</f>
        <v>0</v>
      </c>
      <c r="L25" s="6">
        <f>(' Spices 2013-14(Final)'!L22-'3rd Spices 2013-14'!L22)/'3rd Spices 2013-14'!L22*100</f>
        <v>0</v>
      </c>
      <c r="M25" s="6">
        <f>(' Spices 2013-14(Final)'!M22-'3rd Spices 2013-14'!M22)/'3rd Spices 2013-14'!M22*100</f>
        <v>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15">
        <f t="shared" si="0"/>
        <v>0</v>
      </c>
      <c r="AK25" s="15">
        <f t="shared" si="0"/>
        <v>0</v>
      </c>
    </row>
    <row r="26" spans="1:37" ht="15.75" x14ac:dyDescent="0.25">
      <c r="A26" s="5" t="s">
        <v>189</v>
      </c>
      <c r="B26" s="6"/>
      <c r="C26" s="6"/>
      <c r="D26" s="6">
        <f>(' Spices 2013-14(Final)'!D23-'3rd Spices 2013-14'!D23)/'3rd Spices 2013-14'!D23*100</f>
        <v>0</v>
      </c>
      <c r="E26" s="6">
        <f>(' Spices 2013-14(Final)'!E23-'3rd Spices 2013-14'!E23)/'3rd Spices 2013-14'!E23*100</f>
        <v>0</v>
      </c>
      <c r="F26" s="6">
        <f>(' Spices 2013-14(Final)'!F23-'3rd Spices 2013-14'!F23)/'3rd Spices 2013-14'!F23*100</f>
        <v>0</v>
      </c>
      <c r="G26" s="6">
        <f>(' Spices 2013-14(Final)'!G23-'3rd Spices 2013-14'!G23)/'3rd Spices 2013-14'!G23*100</f>
        <v>0</v>
      </c>
      <c r="H26" s="6">
        <f>(' Spices 2013-14(Final)'!H23-'3rd Spices 2013-14'!H23)/'3rd Spices 2013-14'!H23*100</f>
        <v>0</v>
      </c>
      <c r="I26" s="6">
        <f>(' Spices 2013-14(Final)'!I23-'3rd Spices 2013-14'!I23)/'3rd Spices 2013-14'!I23*100</f>
        <v>0</v>
      </c>
      <c r="J26" s="6">
        <f>(' Spices 2013-14(Final)'!J23-'3rd Spices 2013-14'!J23)/'3rd Spices 2013-14'!J23*100</f>
        <v>0</v>
      </c>
      <c r="K26" s="6">
        <f>(' Spices 2013-14(Final)'!K23-'3rd Spices 2013-14'!K23)/'3rd Spices 2013-14'!K23*100</f>
        <v>0</v>
      </c>
      <c r="L26" s="6"/>
      <c r="M26" s="6"/>
      <c r="N26" s="6">
        <f>(' Spices 2013-14(Final)'!N23-'3rd Spices 2013-14'!N23)/'3rd Spices 2013-14'!N23*100</f>
        <v>0</v>
      </c>
      <c r="O26" s="6">
        <f>(' Spices 2013-14(Final)'!O23-'3rd Spices 2013-14'!O23)/'3rd Spices 2013-14'!O23*100</f>
        <v>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15">
        <f t="shared" si="0"/>
        <v>0</v>
      </c>
      <c r="AK26" s="15">
        <f t="shared" si="0"/>
        <v>0</v>
      </c>
    </row>
    <row r="27" spans="1:37" ht="15.75" x14ac:dyDescent="0.25">
      <c r="A27" s="7" t="s">
        <v>167</v>
      </c>
      <c r="B27" s="6">
        <f>(' Spices 2013-14(Final)'!B24-'3rd Spices 2013-14'!B24)/'3rd Spices 2013-14'!B24*100</f>
        <v>0</v>
      </c>
      <c r="C27" s="6">
        <f>(' Spices 2013-14(Final)'!C24-'3rd Spices 2013-14'!C24)/'3rd Spices 2013-14'!C24*100</f>
        <v>0</v>
      </c>
      <c r="D27" s="6"/>
      <c r="E27" s="6"/>
      <c r="F27" s="6">
        <f>(' Spices 2013-14(Final)'!F24-'3rd Spices 2013-14'!F24)/'3rd Spices 2013-14'!F24*100</f>
        <v>0</v>
      </c>
      <c r="G27" s="6">
        <f>(' Spices 2013-14(Final)'!G24-'3rd Spices 2013-14'!G24)/'3rd Spices 2013-14'!G24*100</f>
        <v>0</v>
      </c>
      <c r="H27" s="6">
        <f>(' Spices 2013-14(Final)'!H24-'3rd Spices 2013-14'!H24)/'3rd Spices 2013-14'!H24*100</f>
        <v>0</v>
      </c>
      <c r="I27" s="6">
        <f>(' Spices 2013-14(Final)'!I24-'3rd Spices 2013-14'!I24)/'3rd Spices 2013-14'!I24*100</f>
        <v>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>(' Spices 2013-14(Final)'!AF24-'3rd Spices 2013-14'!AF24)/'3rd Spices 2013-14'!AF24*100</f>
        <v>0</v>
      </c>
      <c r="AG27" s="6">
        <f>(' Spices 2013-14(Final)'!AG24-'3rd Spices 2013-14'!AG24)/'3rd Spices 2013-14'!AG24*100</f>
        <v>0</v>
      </c>
      <c r="AH27" s="6"/>
      <c r="AI27" s="6"/>
      <c r="AJ27" s="15">
        <f t="shared" si="0"/>
        <v>0</v>
      </c>
      <c r="AK27" s="15">
        <f t="shared" si="0"/>
        <v>0</v>
      </c>
    </row>
    <row r="28" spans="1:37" ht="15.75" x14ac:dyDescent="0.25">
      <c r="A28" s="5" t="s">
        <v>33</v>
      </c>
      <c r="B28" s="6"/>
      <c r="C28" s="6"/>
      <c r="D28" s="6"/>
      <c r="E28" s="6"/>
      <c r="F28" s="6">
        <f>(' Spices 2013-14(Final)'!F25-'3rd Spices 2013-14'!F25)/'3rd Spices 2013-14'!F25*100</f>
        <v>0</v>
      </c>
      <c r="G28" s="6">
        <f>(' Spices 2013-14(Final)'!G25-'3rd Spices 2013-14'!G25)/'3rd Spices 2013-14'!G25*100</f>
        <v>0</v>
      </c>
      <c r="H28" s="6">
        <f>(' Spices 2013-14(Final)'!H25-'3rd Spices 2013-14'!H25)/'3rd Spices 2013-14'!H25*100</f>
        <v>-2.5641025641025665</v>
      </c>
      <c r="I28" s="6">
        <f>(' Spices 2013-14(Final)'!I25-'3rd Spices 2013-14'!I25)/'3rd Spices 2013-14'!I25*100</f>
        <v>0</v>
      </c>
      <c r="J28" s="6">
        <f>(' Spices 2013-14(Final)'!J25-'3rd Spices 2013-14'!J25)/'3rd Spices 2013-14'!J25*100</f>
        <v>0</v>
      </c>
      <c r="K28" s="6">
        <f>(' Spices 2013-14(Final)'!K25-'3rd Spices 2013-14'!K25)/'3rd Spices 2013-14'!K25*100</f>
        <v>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>
        <f>(' Spices 2013-14(Final)'!X25-'3rd Spices 2013-14'!X25)/'3rd Spices 2013-14'!X25*100</f>
        <v>0</v>
      </c>
      <c r="Y28" s="6">
        <f>(' Spices 2013-14(Final)'!Y25-'3rd Spices 2013-14'!Y25)/'3rd Spices 2013-14'!Y25*100</f>
        <v>0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15">
        <f t="shared" si="0"/>
        <v>-2.5641025641025665</v>
      </c>
      <c r="AK28" s="15">
        <f t="shared" si="0"/>
        <v>0</v>
      </c>
    </row>
    <row r="29" spans="1:37" ht="15.75" x14ac:dyDescent="0.25">
      <c r="A29" s="5" t="s">
        <v>34</v>
      </c>
      <c r="B29" s="6"/>
      <c r="C29" s="6"/>
      <c r="D29" s="6">
        <f>(' Spices 2013-14(Final)'!D26-'3rd Spices 2013-14'!D26)/'3rd Spices 2013-14'!D26*100</f>
        <v>-27.810650887573974</v>
      </c>
      <c r="E29" s="6">
        <f>(' Spices 2013-14(Final)'!E26-'3rd Spices 2013-14'!E26)/'3rd Spices 2013-14'!E26*100</f>
        <v>-19.35483870967742</v>
      </c>
      <c r="F29" s="6">
        <f>(' Spices 2013-14(Final)'!F26-'3rd Spices 2013-14'!F26)/'3rd Spices 2013-14'!F26*100</f>
        <v>-36.72316384180791</v>
      </c>
      <c r="G29" s="6">
        <f>(' Spices 2013-14(Final)'!G26-'3rd Spices 2013-14'!G26)/'3rd Spices 2013-14'!G26*100</f>
        <v>-29.455909943714826</v>
      </c>
      <c r="H29" s="6">
        <f>(' Spices 2013-14(Final)'!H26-'3rd Spices 2013-14'!H26)/'3rd Spices 2013-14'!H26*100</f>
        <v>-43.999999999999993</v>
      </c>
      <c r="I29" s="6">
        <f>(' Spices 2013-14(Final)'!I26-'3rd Spices 2013-14'!I26)/'3rd Spices 2013-14'!I26*100</f>
        <v>-45.070422535211264</v>
      </c>
      <c r="J29" s="6">
        <f>(' Spices 2013-14(Final)'!J26-'3rd Spices 2013-14'!J26)/'3rd Spices 2013-14'!J26*100</f>
        <v>3.2568807339449579</v>
      </c>
      <c r="K29" s="6">
        <f>(' Spices 2013-14(Final)'!K26-'3rd Spices 2013-14'!K26)/'3rd Spices 2013-14'!K26*100</f>
        <v>18.160670814173653</v>
      </c>
      <c r="L29" s="6"/>
      <c r="M29" s="6"/>
      <c r="N29" s="6">
        <f>(' Spices 2013-14(Final)'!N26-'3rd Spices 2013-14'!N26)/'3rd Spices 2013-14'!N26*100</f>
        <v>15.156289387446423</v>
      </c>
      <c r="O29" s="6">
        <f>(' Spices 2013-14(Final)'!O26-'3rd Spices 2013-14'!O26)/'3rd Spices 2013-14'!O26*100</f>
        <v>-49.519251498296903</v>
      </c>
      <c r="P29" s="6">
        <f>(' Spices 2013-14(Final)'!P26-'3rd Spices 2013-14'!P26)/'3rd Spices 2013-14'!P26*100</f>
        <v>-1.3859468619500099</v>
      </c>
      <c r="Q29" s="6">
        <f>(' Spices 2013-14(Final)'!Q26-'3rd Spices 2013-14'!Q26)/'3rd Spices 2013-14'!Q26*100</f>
        <v>32.581084146064853</v>
      </c>
      <c r="R29" s="6">
        <f>(' Spices 2013-14(Final)'!R26-'3rd Spices 2013-14'!R26)/'3rd Spices 2013-14'!R26*100</f>
        <v>-72.436363636363637</v>
      </c>
      <c r="S29" s="6">
        <f>(' Spices 2013-14(Final)'!S26-'3rd Spices 2013-14'!S26)/'3rd Spices 2013-14'!S26*100</f>
        <v>-82.15</v>
      </c>
      <c r="T29" s="6">
        <f>(' Spices 2013-14(Final)'!T26-'3rd Spices 2013-14'!T26)/'3rd Spices 2013-14'!T26*100</f>
        <v>-15.463288047626319</v>
      </c>
      <c r="U29" s="6">
        <f>(' Spices 2013-14(Final)'!U26-'3rd Spices 2013-14'!U26)/'3rd Spices 2013-14'!U26*100</f>
        <v>-10.38725010485112</v>
      </c>
      <c r="V29" s="6">
        <f>(' Spices 2013-14(Final)'!V26-'3rd Spices 2013-14'!V26)/'3rd Spices 2013-14'!V26*100</f>
        <v>-47.416666666666671</v>
      </c>
      <c r="W29" s="6">
        <f>(' Spices 2013-14(Final)'!W26-'3rd Spices 2013-14'!W26)/'3rd Spices 2013-14'!W26*100</f>
        <v>-48.777777777777779</v>
      </c>
      <c r="X29" s="6">
        <f>(' Spices 2013-14(Final)'!X26-'3rd Spices 2013-14'!X26)/'3rd Spices 2013-14'!X26*100</f>
        <v>0</v>
      </c>
      <c r="Y29" s="6">
        <f>(' Spices 2013-14(Final)'!Y26-'3rd Spices 2013-14'!Y26)/'3rd Spices 2013-14'!Y26*100</f>
        <v>0</v>
      </c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15">
        <f t="shared" si="0"/>
        <v>-226.82290982059715</v>
      </c>
      <c r="AK29" s="15">
        <f t="shared" si="0"/>
        <v>-233.97369560929079</v>
      </c>
    </row>
    <row r="30" spans="1:37" ht="15.75" x14ac:dyDescent="0.25">
      <c r="A30" s="5" t="s">
        <v>35</v>
      </c>
      <c r="B30" s="6"/>
      <c r="C30" s="6"/>
      <c r="D30" s="6">
        <f>(' Spices 2013-14(Final)'!D27-'3rd Spices 2013-14'!D27)/'3rd Spices 2013-14'!D27*100</f>
        <v>0</v>
      </c>
      <c r="E30" s="6">
        <f>(' Spices 2013-14(Final)'!E27-'3rd Spices 2013-14'!E27)/'3rd Spices 2013-14'!E27*100</f>
        <v>0</v>
      </c>
      <c r="F30" s="6"/>
      <c r="G30" s="6"/>
      <c r="H30" s="6"/>
      <c r="I30" s="6"/>
      <c r="J30" s="6"/>
      <c r="K30" s="6"/>
      <c r="L30" s="6">
        <f>(' Spices 2013-14(Final)'!L27-'3rd Spices 2013-14'!L27)/'3rd Spices 2013-14'!L27*100</f>
        <v>0</v>
      </c>
      <c r="M30" s="6">
        <f>(' Spices 2013-14(Final)'!M27-'3rd Spices 2013-14'!M27)/'3rd Spices 2013-14'!M27*100</f>
        <v>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15">
        <f t="shared" si="0"/>
        <v>0</v>
      </c>
      <c r="AK30" s="15">
        <f t="shared" si="0"/>
        <v>0</v>
      </c>
    </row>
    <row r="31" spans="1:37" ht="15.75" x14ac:dyDescent="0.25">
      <c r="A31" s="5" t="s">
        <v>36</v>
      </c>
      <c r="B31" s="6">
        <f>(' Spices 2013-14(Final)'!B28-'3rd Spices 2013-14'!B28)/'3rd Spices 2013-14'!B28*100</f>
        <v>0</v>
      </c>
      <c r="C31" s="6">
        <f>(' Spices 2013-14(Final)'!C28-'3rd Spices 2013-14'!C28)/'3rd Spices 2013-14'!C28*100</f>
        <v>0</v>
      </c>
      <c r="D31" s="6">
        <f>(' Spices 2013-14(Final)'!D28-'3rd Spices 2013-14'!D28)/'3rd Spices 2013-14'!D28*100</f>
        <v>0</v>
      </c>
      <c r="E31" s="6">
        <f>(' Spices 2013-14(Final)'!E28-'3rd Spices 2013-14'!E28)/'3rd Spices 2013-14'!E28*100</f>
        <v>0</v>
      </c>
      <c r="F31" s="6">
        <f>(' Spices 2013-14(Final)'!F28-'3rd Spices 2013-14'!F28)/'3rd Spices 2013-14'!F28*100</f>
        <v>0</v>
      </c>
      <c r="G31" s="6">
        <f>(' Spices 2013-14(Final)'!G28-'3rd Spices 2013-14'!G28)/'3rd Spices 2013-14'!G28*100</f>
        <v>0</v>
      </c>
      <c r="H31" s="6">
        <f>(' Spices 2013-14(Final)'!H28-'3rd Spices 2013-14'!H28)/'3rd Spices 2013-14'!H28*100</f>
        <v>0</v>
      </c>
      <c r="I31" s="6">
        <f>(' Spices 2013-14(Final)'!I28-'3rd Spices 2013-14'!I28)/'3rd Spices 2013-14'!I28*100</f>
        <v>0</v>
      </c>
      <c r="J31" s="6">
        <f>(' Spices 2013-14(Final)'!J28-'3rd Spices 2013-14'!J28)/'3rd Spices 2013-14'!J28*100</f>
        <v>0</v>
      </c>
      <c r="K31" s="6">
        <f>(' Spices 2013-14(Final)'!K28-'3rd Spices 2013-14'!K28)/'3rd Spices 2013-14'!K28*100</f>
        <v>0</v>
      </c>
      <c r="L31" s="6">
        <f>(' Spices 2013-14(Final)'!L28-'3rd Spices 2013-14'!L28)/'3rd Spices 2013-14'!L28*100</f>
        <v>0</v>
      </c>
      <c r="M31" s="6">
        <f>(' Spices 2013-14(Final)'!M28-'3rd Spices 2013-14'!M28)/'3rd Spices 2013-14'!M28*100</f>
        <v>0</v>
      </c>
      <c r="N31" s="6">
        <f>(' Spices 2013-14(Final)'!N28-'3rd Spices 2013-14'!N28)/'3rd Spices 2013-14'!N28*100</f>
        <v>0</v>
      </c>
      <c r="O31" s="6">
        <f>(' Spices 2013-14(Final)'!O28-'3rd Spices 2013-14'!O28)/'3rd Spices 2013-14'!O28*100</f>
        <v>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f>(' Spices 2013-14(Final)'!AB28-'3rd Spices 2013-14'!AB28)/'3rd Spices 2013-14'!AB28*100</f>
        <v>0</v>
      </c>
      <c r="AC31" s="6"/>
      <c r="AD31" s="6">
        <f>(' Spices 2013-14(Final)'!AD28-'3rd Spices 2013-14'!AD28)/'3rd Spices 2013-14'!AD28*100</f>
        <v>0</v>
      </c>
      <c r="AE31" s="6">
        <f>(' Spices 2013-14(Final)'!AE28-'3rd Spices 2013-14'!AE28)/'3rd Spices 2013-14'!AE28*100</f>
        <v>0</v>
      </c>
      <c r="AF31" s="6">
        <f>(' Spices 2013-14(Final)'!AF28-'3rd Spices 2013-14'!AF28)/'3rd Spices 2013-14'!AF28*100</f>
        <v>0</v>
      </c>
      <c r="AG31" s="6">
        <f>(' Spices 2013-14(Final)'!AG28-'3rd Spices 2013-14'!AG28)/'3rd Spices 2013-14'!AG28*100</f>
        <v>0</v>
      </c>
      <c r="AH31" s="6">
        <f>(' Spices 2013-14(Final)'!AH28-'3rd Spices 2013-14'!AH28)/'3rd Spices 2013-14'!AH28*100</f>
        <v>0</v>
      </c>
      <c r="AI31" s="6">
        <f>(' Spices 2013-14(Final)'!AI28-'3rd Spices 2013-14'!AI28)/'3rd Spices 2013-14'!AI28*100</f>
        <v>0</v>
      </c>
      <c r="AJ31" s="15">
        <f t="shared" si="0"/>
        <v>0</v>
      </c>
      <c r="AK31" s="15">
        <f t="shared" si="0"/>
        <v>0</v>
      </c>
    </row>
    <row r="32" spans="1:37" ht="15.75" x14ac:dyDescent="0.25">
      <c r="A32" s="5" t="s">
        <v>241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15">
        <f t="shared" si="0"/>
        <v>0</v>
      </c>
      <c r="AK32" s="15">
        <f t="shared" si="0"/>
        <v>0</v>
      </c>
    </row>
    <row r="33" spans="1:37" ht="15.75" x14ac:dyDescent="0.25">
      <c r="A33" s="5" t="s">
        <v>37</v>
      </c>
      <c r="B33" s="6">
        <f>(' Spices 2013-14(Final)'!B30-'3rd Spices 2013-14'!B30)/'3rd Spices 2013-14'!B30*100</f>
        <v>0</v>
      </c>
      <c r="C33" s="6">
        <f>(' Spices 2013-14(Final)'!C30-'3rd Spices 2013-14'!C30)/'3rd Spices 2013-14'!C30*100</f>
        <v>0</v>
      </c>
      <c r="D33" s="6">
        <f>(' Spices 2013-14(Final)'!D30-'3rd Spices 2013-14'!D30)/'3rd Spices 2013-14'!D30*100</f>
        <v>0</v>
      </c>
      <c r="E33" s="6">
        <f>(' Spices 2013-14(Final)'!E30-'3rd Spices 2013-14'!E30)/'3rd Spices 2013-14'!E30*100</f>
        <v>0</v>
      </c>
      <c r="F33" s="6">
        <f>(' Spices 2013-14(Final)'!F30-'3rd Spices 2013-14'!F30)/'3rd Spices 2013-14'!F30*100</f>
        <v>0</v>
      </c>
      <c r="G33" s="6">
        <f>(' Spices 2013-14(Final)'!G30-'3rd Spices 2013-14'!G30)/'3rd Spices 2013-14'!G30*100</f>
        <v>0</v>
      </c>
      <c r="H33" s="6">
        <f>(' Spices 2013-14(Final)'!H30-'3rd Spices 2013-14'!H30)/'3rd Spices 2013-14'!H30*100</f>
        <v>0</v>
      </c>
      <c r="I33" s="6">
        <f>(' Spices 2013-14(Final)'!I30-'3rd Spices 2013-14'!I30)/'3rd Spices 2013-14'!I30*100</f>
        <v>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15">
        <f t="shared" si="0"/>
        <v>0</v>
      </c>
      <c r="AK33" s="15">
        <f t="shared" si="0"/>
        <v>0</v>
      </c>
    </row>
    <row r="34" spans="1:37" ht="15.75" x14ac:dyDescent="0.25">
      <c r="A34" s="5" t="s">
        <v>38</v>
      </c>
      <c r="B34" s="6"/>
      <c r="C34" s="6"/>
      <c r="D34" s="6">
        <f>(' Spices 2013-14(Final)'!D31-'3rd Spices 2013-14'!D31)/'3rd Spices 2013-14'!D31*100</f>
        <v>0</v>
      </c>
      <c r="E34" s="6">
        <f>(' Spices 2013-14(Final)'!E31-'3rd Spices 2013-14'!E31)/'3rd Spices 2013-14'!E31*100</f>
        <v>0</v>
      </c>
      <c r="F34" s="6">
        <f>(' Spices 2013-14(Final)'!F31-'3rd Spices 2013-14'!F31)/'3rd Spices 2013-14'!F31*100</f>
        <v>0</v>
      </c>
      <c r="G34" s="6">
        <f>(' Spices 2013-14(Final)'!G31-'3rd Spices 2013-14'!G31)/'3rd Spices 2013-14'!G31*100</f>
        <v>0</v>
      </c>
      <c r="H34" s="6">
        <f>(' Spices 2013-14(Final)'!H31-'3rd Spices 2013-14'!H31)/'3rd Spices 2013-14'!H31*100</f>
        <v>0</v>
      </c>
      <c r="I34" s="6">
        <f>(' Spices 2013-14(Final)'!I31-'3rd Spices 2013-14'!I31)/'3rd Spices 2013-14'!I31*100</f>
        <v>0</v>
      </c>
      <c r="J34" s="6">
        <f>(' Spices 2013-14(Final)'!J31-'3rd Spices 2013-14'!J31)/'3rd Spices 2013-14'!J31*100</f>
        <v>3.2150776053215182</v>
      </c>
      <c r="K34" s="6">
        <f>(' Spices 2013-14(Final)'!K31-'3rd Spices 2013-14'!K31)/'3rd Spices 2013-14'!K31*100</f>
        <v>16.430972837397952</v>
      </c>
      <c r="L34" s="6"/>
      <c r="M34" s="6"/>
      <c r="N34" s="6">
        <f>(' Spices 2013-14(Final)'!N31-'3rd Spices 2013-14'!N31)/'3rd Spices 2013-14'!N31*100</f>
        <v>0.74850299401198672</v>
      </c>
      <c r="O34" s="6">
        <f>(' Spices 2013-14(Final)'!O31-'3rd Spices 2013-14'!O31)/'3rd Spices 2013-14'!O31*100</f>
        <v>1.9390581717451603</v>
      </c>
      <c r="P34" s="6"/>
      <c r="Q34" s="6">
        <f>(' Spices 2013-14(Final)'!Q31-'3rd Spices 2013-14'!Q31)/'3rd Spices 2013-14'!Q31*100</f>
        <v>0</v>
      </c>
      <c r="R34" s="6">
        <f>(' Spices 2013-14(Final)'!R31-'3rd Spices 2013-14'!R31)/'3rd Spices 2013-14'!R31*100</f>
        <v>-8.7500000000000071</v>
      </c>
      <c r="S34" s="6">
        <f>(' Spices 2013-14(Final)'!S31-'3rd Spices 2013-14'!S31)/'3rd Spices 2013-14'!S31*100</f>
        <v>-12.987012987012983</v>
      </c>
      <c r="T34" s="6">
        <f>(' Spices 2013-14(Final)'!T31-'3rd Spices 2013-14'!T31)/'3rd Spices 2013-14'!T31*100</f>
        <v>15.151515151515147</v>
      </c>
      <c r="U34" s="6">
        <f>(' Spices 2013-14(Final)'!U31-'3rd Spices 2013-14'!U31)/'3rd Spices 2013-14'!U31*100</f>
        <v>-9.0909090909090864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15">
        <f t="shared" si="0"/>
        <v>10.365095750848646</v>
      </c>
      <c r="AK34" s="15">
        <f t="shared" si="0"/>
        <v>-3.7078910687789577</v>
      </c>
    </row>
    <row r="35" spans="1:37" ht="15.75" x14ac:dyDescent="0.25">
      <c r="A35" s="5" t="s">
        <v>90</v>
      </c>
      <c r="B35" s="6"/>
      <c r="C35" s="6"/>
      <c r="D35" s="6">
        <f>(' Spices 2013-14(Final)'!D32-'3rd Spices 2013-14'!D32)/'3rd Spices 2013-14'!D32*100</f>
        <v>0</v>
      </c>
      <c r="E35" s="6">
        <f>(' Spices 2013-14(Final)'!E32-'3rd Spices 2013-14'!E32)/'3rd Spices 2013-14'!E32*100</f>
        <v>0</v>
      </c>
      <c r="F35" s="6">
        <f>(' Spices 2013-14(Final)'!F32-'3rd Spices 2013-14'!F32)/'3rd Spices 2013-14'!F32*100</f>
        <v>0</v>
      </c>
      <c r="G35" s="6">
        <f>(' Spices 2013-14(Final)'!G32-'3rd Spices 2013-14'!G32)/'3rd Spices 2013-14'!G32*100</f>
        <v>0</v>
      </c>
      <c r="H35" s="6">
        <f>(' Spices 2013-14(Final)'!H32-'3rd Spices 2013-14'!H32)/'3rd Spices 2013-14'!H32*100</f>
        <v>0</v>
      </c>
      <c r="I35" s="6">
        <f>(' Spices 2013-14(Final)'!I32-'3rd Spices 2013-14'!I32)/'3rd Spices 2013-14'!I32*100</f>
        <v>0</v>
      </c>
      <c r="J35" s="6">
        <f>(' Spices 2013-14(Final)'!J32-'3rd Spices 2013-14'!J32)/'3rd Spices 2013-14'!J32*100</f>
        <v>0</v>
      </c>
      <c r="K35" s="6">
        <f>(' Spices 2013-14(Final)'!K32-'3rd Spices 2013-14'!K32)/'3rd Spices 2013-14'!K32*100</f>
        <v>0</v>
      </c>
      <c r="L35" s="6"/>
      <c r="M35" s="6"/>
      <c r="N35" s="6">
        <f>(' Spices 2013-14(Final)'!N32-'3rd Spices 2013-14'!N32)/'3rd Spices 2013-14'!N32*100</f>
        <v>0</v>
      </c>
      <c r="O35" s="6">
        <f>(' Spices 2013-14(Final)'!O32-'3rd Spices 2013-14'!O32)/'3rd Spices 2013-14'!O32*100</f>
        <v>0</v>
      </c>
      <c r="P35" s="6"/>
      <c r="Q35" s="6"/>
      <c r="R35" s="6"/>
      <c r="S35" s="6"/>
      <c r="T35" s="6">
        <f>(' Spices 2013-14(Final)'!T32-'3rd Spices 2013-14'!T32)/'3rd Spices 2013-14'!T32*100</f>
        <v>0</v>
      </c>
      <c r="U35" s="6">
        <f>(' Spices 2013-14(Final)'!U32-'3rd Spices 2013-14'!U32)/'3rd Spices 2013-14'!U32*100</f>
        <v>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15">
        <f t="shared" si="0"/>
        <v>0</v>
      </c>
      <c r="AK35" s="15">
        <f t="shared" si="0"/>
        <v>0</v>
      </c>
    </row>
    <row r="36" spans="1:37" ht="15.75" x14ac:dyDescent="0.25">
      <c r="A36" s="5" t="s">
        <v>40</v>
      </c>
      <c r="B36" s="6"/>
      <c r="C36" s="6"/>
      <c r="D36" s="6">
        <f>(' Spices 2013-14(Final)'!D33-'3rd Spices 2013-14'!D33)/'3rd Spices 2013-14'!D33*100</f>
        <v>0</v>
      </c>
      <c r="E36" s="6">
        <f>(' Spices 2013-14(Final)'!E33-'3rd Spices 2013-14'!E33)/'3rd Spices 2013-14'!E33*100</f>
        <v>0</v>
      </c>
      <c r="F36" s="6">
        <f>(' Spices 2013-14(Final)'!F33-'3rd Spices 2013-14'!F33)/'3rd Spices 2013-14'!F33*100</f>
        <v>0</v>
      </c>
      <c r="G36" s="6">
        <f>(' Spices 2013-14(Final)'!G33-'3rd Spices 2013-14'!G33)/'3rd Spices 2013-14'!G33*100</f>
        <v>0</v>
      </c>
      <c r="H36" s="6">
        <f>(' Spices 2013-14(Final)'!H33-'3rd Spices 2013-14'!H33)/'3rd Spices 2013-14'!H33*100</f>
        <v>0</v>
      </c>
      <c r="I36" s="6">
        <f>(' Spices 2013-14(Final)'!I33-'3rd Spices 2013-14'!I33)/'3rd Spices 2013-14'!I33*100</f>
        <v>0</v>
      </c>
      <c r="J36" s="6">
        <f>(' Spices 2013-14(Final)'!J33-'3rd Spices 2013-14'!J33)/'3rd Spices 2013-14'!J33*100</f>
        <v>0</v>
      </c>
      <c r="K36" s="6">
        <f>(' Spices 2013-14(Final)'!K33-'3rd Spices 2013-14'!K33)/'3rd Spices 2013-14'!K33*100</f>
        <v>0</v>
      </c>
      <c r="L36" s="6">
        <f>(' Spices 2013-14(Final)'!L33-'3rd Spices 2013-14'!L33)/'3rd Spices 2013-14'!L33*100</f>
        <v>0</v>
      </c>
      <c r="M36" s="6">
        <f>(' Spices 2013-14(Final)'!M33-'3rd Spices 2013-14'!M33)/'3rd Spices 2013-14'!M33*100</f>
        <v>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15">
        <f t="shared" si="0"/>
        <v>0</v>
      </c>
      <c r="AK36" s="15">
        <f t="shared" si="0"/>
        <v>0</v>
      </c>
    </row>
    <row r="37" spans="1:37" ht="15.75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15"/>
      <c r="AK37" s="15"/>
    </row>
    <row r="38" spans="1:37" ht="15.75" x14ac:dyDescent="0.25">
      <c r="A38" s="5" t="s">
        <v>9</v>
      </c>
      <c r="B38" s="2">
        <f>(' Spices 2013-14(Final)'!B35-'3rd Spices 2013-14'!B35)/'3rd Spices 2013-14'!B35*100</f>
        <v>1.7755856966707739</v>
      </c>
      <c r="C38" s="2">
        <f>(' Spices 2013-14(Final)'!C35-'3rd Spices 2013-14'!C35)/'3rd Spices 2013-14'!C35*100</f>
        <v>4.5202383398397439</v>
      </c>
      <c r="D38" s="2">
        <f>(' Spices 2013-14(Final)'!D35-'3rd Spices 2013-14'!D35)/'3rd Spices 2013-14'!D35*100</f>
        <v>-5.2612404097552483</v>
      </c>
      <c r="E38" s="2">
        <f>(' Spices 2013-14(Final)'!E35-'3rd Spices 2013-14'!E35)/'3rd Spices 2013-14'!E35*100</f>
        <v>-4.8223755902651568</v>
      </c>
      <c r="F38" s="2">
        <f>(' Spices 2013-14(Final)'!F35-'3rd Spices 2013-14'!F35)/'3rd Spices 2013-14'!F35*100</f>
        <v>-1.9945866639684138</v>
      </c>
      <c r="G38" s="2">
        <f>(' Spices 2013-14(Final)'!G35-'3rd Spices 2013-14'!G35)/'3rd Spices 2013-14'!G35*100</f>
        <v>8.4790368663259361</v>
      </c>
      <c r="H38" s="2">
        <f>(' Spices 2013-14(Final)'!H35-'3rd Spices 2013-14'!H35)/'3rd Spices 2013-14'!H35*100</f>
        <v>-0.61085006407518438</v>
      </c>
      <c r="I38" s="2">
        <f>(' Spices 2013-14(Final)'!I35-'3rd Spices 2013-14'!I35)/'3rd Spices 2013-14'!I35*100</f>
        <v>-3.1751714934372726</v>
      </c>
      <c r="J38" s="2">
        <f>(' Spices 2013-14(Final)'!J35-'3rd Spices 2013-14'!J35)/'3rd Spices 2013-14'!J35*100</f>
        <v>1.4072738466951129</v>
      </c>
      <c r="K38" s="2">
        <f>(' Spices 2013-14(Final)'!K35-'3rd Spices 2013-14'!K35)/'3rd Spices 2013-14'!K35*100</f>
        <v>5.9684942058796135</v>
      </c>
      <c r="L38" s="2">
        <f>(' Spices 2013-14(Final)'!L35-'3rd Spices 2013-14'!L35)/'3rd Spices 2013-14'!L35*100</f>
        <v>-6.449012494961714</v>
      </c>
      <c r="M38" s="2">
        <f>(' Spices 2013-14(Final)'!M35-'3rd Spices 2013-14'!M35)/'3rd Spices 2013-14'!M35*100</f>
        <v>2.7522935779816531</v>
      </c>
      <c r="N38" s="2">
        <f>(' Spices 2013-14(Final)'!N35-'3rd Spices 2013-14'!N35)/'3rd Spices 2013-14'!N35*100</f>
        <v>5.266503437235146</v>
      </c>
      <c r="O38" s="2">
        <f>(' Spices 2013-14(Final)'!O35-'3rd Spices 2013-14'!O35)/'3rd Spices 2013-14'!O35*100</f>
        <v>-26.746385781348536</v>
      </c>
      <c r="P38" s="2">
        <f>(' Spices 2013-14(Final)'!P35-'3rd Spices 2013-14'!P35)/'3rd Spices 2013-14'!P35*100</f>
        <v>-0.79351328874874438</v>
      </c>
      <c r="Q38" s="2">
        <f>(' Spices 2013-14(Final)'!Q35-'3rd Spices 2013-14'!Q35)/'3rd Spices 2013-14'!Q35*100</f>
        <v>12.590109336313224</v>
      </c>
      <c r="R38" s="2">
        <f>(' Spices 2013-14(Final)'!R35-'3rd Spices 2013-14'!R35)/'3rd Spices 2013-14'!R35*100</f>
        <v>-42.425853088125862</v>
      </c>
      <c r="S38" s="2">
        <f>(' Spices 2013-14(Final)'!S35-'3rd Spices 2013-14'!S35)/'3rd Spices 2013-14'!S35*100</f>
        <v>-48.418419891128444</v>
      </c>
      <c r="T38" s="2">
        <f>(' Spices 2013-14(Final)'!T35-'3rd Spices 2013-14'!T35)/'3rd Spices 2013-14'!T35*100</f>
        <v>-13.259668508287307</v>
      </c>
      <c r="U38" s="2">
        <f>(' Spices 2013-14(Final)'!U35-'3rd Spices 2013-14'!U35)/'3rd Spices 2013-14'!U35*100</f>
        <v>-7.67566453739955</v>
      </c>
      <c r="V38" s="2">
        <f>(' Spices 2013-14(Final)'!V35-'3rd Spices 2013-14'!V35)/'3rd Spices 2013-14'!V35*100</f>
        <v>-32.068262862964865</v>
      </c>
      <c r="W38" s="2">
        <f>(' Spices 2013-14(Final)'!W35-'3rd Spices 2013-14'!W35)/'3rd Spices 2013-14'!W35*100</f>
        <v>-27.846674182638111</v>
      </c>
      <c r="X38" s="2">
        <f>(' Spices 2013-14(Final)'!X35-'3rd Spices 2013-14'!X35)/'3rd Spices 2013-14'!X35*100</f>
        <v>0</v>
      </c>
      <c r="Y38" s="2">
        <f>(' Spices 2013-14(Final)'!Y35-'3rd Spices 2013-14'!Y35)/'3rd Spices 2013-14'!Y35*100</f>
        <v>0</v>
      </c>
      <c r="Z38" s="2">
        <f>(' Spices 2013-14(Final)'!Z35-'3rd Spices 2013-14'!Z35)/'3rd Spices 2013-14'!Z35*100</f>
        <v>0</v>
      </c>
      <c r="AA38" s="2">
        <f>(' Spices 2013-14(Final)'!AA35-'3rd Spices 2013-14'!AA35)/'3rd Spices 2013-14'!AA35*100</f>
        <v>0</v>
      </c>
      <c r="AB38" s="2">
        <f>(' Spices 2013-14(Final)'!AB35-'3rd Spices 2013-14'!AB35)/'3rd Spices 2013-14'!AB35*100</f>
        <v>0.90763481046450456</v>
      </c>
      <c r="AC38" s="2">
        <f>(' Spices 2013-14(Final)'!AC35-'3rd Spices 2013-14'!AC35)/'3rd Spices 2013-14'!AC35*100</f>
        <v>0.39277297721917293</v>
      </c>
      <c r="AD38" s="2">
        <f>(' Spices 2013-14(Final)'!AD35-'3rd Spices 2013-14'!AD35)/'3rd Spices 2013-14'!AD35*100</f>
        <v>0</v>
      </c>
      <c r="AE38" s="2">
        <f>(' Spices 2013-14(Final)'!AE35-'3rd Spices 2013-14'!AE35)/'3rd Spices 2013-14'!AE35*100</f>
        <v>0</v>
      </c>
      <c r="AF38" s="2">
        <f>(' Spices 2013-14(Final)'!AF35-'3rd Spices 2013-14'!AF35)/'3rd Spices 2013-14'!AF35*100</f>
        <v>-0.2383790226460081</v>
      </c>
      <c r="AG38" s="2">
        <f>(' Spices 2013-14(Final)'!AG35-'3rd Spices 2013-14'!AG35)/'3rd Spices 2013-14'!AG35*100</f>
        <v>-1.8878748370273819</v>
      </c>
      <c r="AH38" s="2">
        <f>(' Spices 2013-14(Final)'!AH35-'3rd Spices 2013-14'!AH35)/'3rd Spices 2013-14'!AH35*100</f>
        <v>0</v>
      </c>
      <c r="AI38" s="2">
        <f>(' Spices 2013-14(Final)'!AI35-'3rd Spices 2013-14'!AI35)/'3rd Spices 2013-14'!AI35*100</f>
        <v>0</v>
      </c>
      <c r="AJ38" s="2">
        <f>(' Spices 2013-14(Final)'!AJ35-'3rd Spices 2013-14'!AJ35)/'3rd Spices 2013-14'!AJ35*100</f>
        <v>-2.2452822958463359</v>
      </c>
      <c r="AK38" s="2">
        <f>(' Spices 2013-14(Final)'!AK35-'3rd Spices 2013-14'!AK35)/'3rd Spices 2013-14'!AK35*100</f>
        <v>-0.39801749860919383</v>
      </c>
    </row>
  </sheetData>
  <mergeCells count="18"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A9" sqref="A9:A10"/>
    </sheetView>
  </sheetViews>
  <sheetFormatPr defaultRowHeight="12.75" x14ac:dyDescent="0.2"/>
  <cols>
    <col min="1" max="1" width="23" customWidth="1"/>
    <col min="2" max="2" width="22" customWidth="1"/>
    <col min="3" max="3" width="28" customWidth="1"/>
  </cols>
  <sheetData>
    <row r="2" spans="1:3" ht="25.5" customHeight="1" x14ac:dyDescent="0.2">
      <c r="A2" s="137" t="s">
        <v>247</v>
      </c>
      <c r="B2" s="321" t="s">
        <v>246</v>
      </c>
      <c r="C2" s="322"/>
    </row>
    <row r="3" spans="1:3" ht="25.5" x14ac:dyDescent="0.2">
      <c r="A3" s="137"/>
      <c r="B3" s="138" t="s">
        <v>248</v>
      </c>
      <c r="C3" s="138" t="s">
        <v>249</v>
      </c>
    </row>
    <row r="4" spans="1:3" ht="24" customHeight="1" x14ac:dyDescent="0.2">
      <c r="A4" s="139" t="s">
        <v>250</v>
      </c>
      <c r="B4" s="140">
        <f>[3]Summary!B93/1000</f>
        <v>23.242160010000003</v>
      </c>
      <c r="C4" s="141">
        <f>[3]Summary!C93/1000</f>
        <v>257.27657039999997</v>
      </c>
    </row>
    <row r="5" spans="1:3" ht="24" customHeight="1" x14ac:dyDescent="0.2">
      <c r="A5" s="139" t="s">
        <v>206</v>
      </c>
      <c r="B5" s="142">
        <f>[3]Summary!D93/1000</f>
        <v>23.694144639999998</v>
      </c>
      <c r="C5" s="141">
        <f>[3]Summary!E93/1000</f>
        <v>268.84745347999996</v>
      </c>
    </row>
    <row r="6" spans="1:3" ht="31.5" customHeight="1" x14ac:dyDescent="0.2">
      <c r="A6" s="143" t="s">
        <v>251</v>
      </c>
      <c r="B6" s="142">
        <f>[3]Summary!F93/1000</f>
        <v>24.092933990000006</v>
      </c>
      <c r="C6" s="141">
        <f>[3]Summary!G93/1000</f>
        <v>279.28964809199999</v>
      </c>
    </row>
    <row r="7" spans="1:3" ht="30.75" customHeight="1" x14ac:dyDescent="0.2">
      <c r="A7" s="143" t="s">
        <v>252</v>
      </c>
      <c r="B7" s="142">
        <f>[3]Summary!H93/1000</f>
        <v>24.303358790000001</v>
      </c>
      <c r="C7" s="141">
        <f>[3]Summary!I93/1000</f>
        <v>280.70724532000003</v>
      </c>
    </row>
    <row r="8" spans="1:3" ht="33" customHeight="1" x14ac:dyDescent="0.2">
      <c r="A8" s="144" t="s">
        <v>253</v>
      </c>
      <c r="B8" s="145">
        <f>[4]Summary!J93/1000</f>
        <v>24.457957539999999</v>
      </c>
      <c r="C8" s="141">
        <f>[4]Summary!K93/1000</f>
        <v>280.79212917437422</v>
      </c>
    </row>
    <row r="9" spans="1:3" ht="33" customHeight="1" x14ac:dyDescent="0.2">
      <c r="A9" s="144" t="s">
        <v>281</v>
      </c>
      <c r="B9" s="146">
        <f>Summary!D102/1000</f>
        <v>24.198481230000006</v>
      </c>
      <c r="C9" s="141">
        <f>Summary!E102/1000</f>
        <v>277.35203670965581</v>
      </c>
    </row>
    <row r="10" spans="1:3" ht="33" customHeight="1" x14ac:dyDescent="0.2">
      <c r="A10" s="144" t="s">
        <v>282</v>
      </c>
      <c r="B10" s="146" t="e">
        <f>Summary!#REF!/1000</f>
        <v>#REF!</v>
      </c>
      <c r="C10" s="141" t="e">
        <f>Summary!#REF!/1000</f>
        <v>#REF!</v>
      </c>
    </row>
  </sheetData>
  <mergeCells count="1">
    <mergeCell ref="B2:C2"/>
  </mergeCells>
  <pageMargins left="0.7" right="0.7" top="0.75" bottom="0.75" header="0.3" footer="0.3"/>
  <pageSetup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opLeftCell="A9" workbookViewId="0">
      <selection activeCell="H14" sqref="H14"/>
    </sheetView>
  </sheetViews>
  <sheetFormatPr defaultRowHeight="12.75" x14ac:dyDescent="0.2"/>
  <cols>
    <col min="1" max="1" width="23" customWidth="1"/>
    <col min="2" max="2" width="22" customWidth="1"/>
    <col min="3" max="3" width="28" customWidth="1"/>
  </cols>
  <sheetData>
    <row r="2" spans="1:3" ht="25.5" customHeight="1" x14ac:dyDescent="0.2">
      <c r="A2" s="137" t="s">
        <v>247</v>
      </c>
      <c r="B2" s="321" t="s">
        <v>254</v>
      </c>
      <c r="C2" s="322"/>
    </row>
    <row r="3" spans="1:3" ht="25.5" x14ac:dyDescent="0.2">
      <c r="A3" s="137"/>
      <c r="B3" s="138" t="s">
        <v>248</v>
      </c>
      <c r="C3" s="138" t="s">
        <v>249</v>
      </c>
    </row>
    <row r="4" spans="1:3" ht="24" customHeight="1" x14ac:dyDescent="0.2">
      <c r="A4" s="139" t="s">
        <v>250</v>
      </c>
      <c r="B4" s="146">
        <f>[3]Summary!B36/1000</f>
        <v>6.7045626100000018</v>
      </c>
      <c r="C4" s="146">
        <f>[3]Summary!C36/1000</f>
        <v>76.423966480000004</v>
      </c>
    </row>
    <row r="5" spans="1:3" ht="24.75" customHeight="1" x14ac:dyDescent="0.2">
      <c r="A5" s="139" t="s">
        <v>206</v>
      </c>
      <c r="B5" s="146">
        <f>[3]Summary!D36/1000</f>
        <v>6.9820149999999996</v>
      </c>
      <c r="C5" s="146">
        <f>[3]Summary!E36/1000</f>
        <v>81.285333949999981</v>
      </c>
    </row>
    <row r="6" spans="1:3" ht="24.75" customHeight="1" x14ac:dyDescent="0.2">
      <c r="A6" s="143" t="s">
        <v>251</v>
      </c>
      <c r="B6" s="146">
        <f>[3]Summary!F36/1000</f>
        <v>7.1397950000000012</v>
      </c>
      <c r="C6" s="146">
        <f>[3]Summary!G36/1000</f>
        <v>84.426141549999983</v>
      </c>
    </row>
    <row r="7" spans="1:3" ht="24.75" customHeight="1" x14ac:dyDescent="0.2">
      <c r="A7" s="143" t="s">
        <v>252</v>
      </c>
      <c r="B7" s="146">
        <f>[3]Summary!H36/1000</f>
        <v>7.1359469999999998</v>
      </c>
      <c r="C7" s="146">
        <f>[3]Summary!I36/1000</f>
        <v>84.410672549999987</v>
      </c>
    </row>
    <row r="8" spans="1:3" ht="24.75" customHeight="1" x14ac:dyDescent="0.2">
      <c r="A8" s="144" t="s">
        <v>253</v>
      </c>
      <c r="B8" s="146">
        <f>[4]Summary!J36/1000</f>
        <v>7.185995000000001</v>
      </c>
      <c r="C8" s="146">
        <f>[4]Summary!K36/1000</f>
        <v>86.822188549999993</v>
      </c>
    </row>
    <row r="9" spans="1:3" ht="24.75" customHeight="1" x14ac:dyDescent="0.2">
      <c r="A9" s="144" t="s">
        <v>281</v>
      </c>
      <c r="B9" s="146">
        <f>Summary!D38/1000</f>
        <v>7.2163120000000012</v>
      </c>
      <c r="C9" s="146">
        <f>Summary!E38/1000</f>
        <v>88.977134450000008</v>
      </c>
    </row>
    <row r="10" spans="1:3" ht="24.75" customHeight="1" x14ac:dyDescent="0.2">
      <c r="A10" s="144" t="s">
        <v>282</v>
      </c>
      <c r="B10" s="146" t="e">
        <f>Summary!#REF!/1000</f>
        <v>#REF!</v>
      </c>
      <c r="C10" s="146" t="e">
        <f>Summary!#REF!/1000</f>
        <v>#REF!</v>
      </c>
    </row>
  </sheetData>
  <mergeCells count="1">
    <mergeCell ref="B2:C2"/>
  </mergeCells>
  <pageMargins left="0.7" right="0.7" top="0.75" bottom="0.75" header="0.3" footer="0.3"/>
  <pageSetup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opLeftCell="A3" workbookViewId="0">
      <selection activeCell="A9" sqref="A9:A10"/>
    </sheetView>
  </sheetViews>
  <sheetFormatPr defaultRowHeight="12.75" x14ac:dyDescent="0.2"/>
  <cols>
    <col min="1" max="1" width="16.85546875" customWidth="1"/>
    <col min="2" max="2" width="21.7109375" customWidth="1"/>
    <col min="3" max="3" width="26.5703125" customWidth="1"/>
  </cols>
  <sheetData>
    <row r="2" spans="1:3" x14ac:dyDescent="0.2">
      <c r="A2" s="137" t="s">
        <v>247</v>
      </c>
      <c r="B2" s="321" t="s">
        <v>255</v>
      </c>
      <c r="C2" s="322"/>
    </row>
    <row r="3" spans="1:3" ht="25.5" x14ac:dyDescent="0.2">
      <c r="A3" s="137"/>
      <c r="B3" s="138" t="s">
        <v>248</v>
      </c>
      <c r="C3" s="138" t="s">
        <v>249</v>
      </c>
    </row>
    <row r="4" spans="1:3" ht="32.25" customHeight="1" x14ac:dyDescent="0.2">
      <c r="A4" s="139" t="s">
        <v>250</v>
      </c>
      <c r="B4" s="146">
        <f>[3]Summary!B59/1000</f>
        <v>8.9893515000000015</v>
      </c>
      <c r="C4" s="146">
        <f>[3]Summary!C59/1000</f>
        <v>156.32514900999999</v>
      </c>
    </row>
    <row r="5" spans="1:3" ht="32.25" customHeight="1" x14ac:dyDescent="0.2">
      <c r="A5" s="139" t="s">
        <v>206</v>
      </c>
      <c r="B5" s="146">
        <f>[3]Summary!D59/1000</f>
        <v>9.2051854999999989</v>
      </c>
      <c r="C5" s="146">
        <f>[3]Summary!E59/1000</f>
        <v>162.18656659000001</v>
      </c>
    </row>
    <row r="6" spans="1:3" ht="32.25" customHeight="1" x14ac:dyDescent="0.2">
      <c r="A6" s="143" t="s">
        <v>251</v>
      </c>
      <c r="B6" s="146">
        <f>[3]Summary!F59/1000</f>
        <v>9.3903424999999991</v>
      </c>
      <c r="C6" s="146">
        <f>[3]Summary!G59/1000</f>
        <v>168.91852859000002</v>
      </c>
    </row>
    <row r="7" spans="1:3" ht="32.25" customHeight="1" x14ac:dyDescent="0.2">
      <c r="A7" s="143" t="s">
        <v>252</v>
      </c>
      <c r="B7" s="146">
        <f>[3]Summary!H59/1000</f>
        <v>9.6085901999999983</v>
      </c>
      <c r="C7" s="146">
        <f>[3]Summary!I59/1000</f>
        <v>170.24814859000003</v>
      </c>
    </row>
    <row r="8" spans="1:3" ht="25.5" x14ac:dyDescent="0.2">
      <c r="A8" s="144" t="s">
        <v>253</v>
      </c>
      <c r="B8" s="146">
        <f>[4]Summary!J59/1000</f>
        <v>9.5672281999999988</v>
      </c>
      <c r="C8" s="146">
        <f>[4]Summary!K59/1000</f>
        <v>168.14236658999999</v>
      </c>
    </row>
    <row r="9" spans="1:3" ht="25.5" x14ac:dyDescent="0.2">
      <c r="A9" s="144" t="s">
        <v>281</v>
      </c>
      <c r="B9" s="146">
        <f>Summary!D65/1000</f>
        <v>9.3960571999999996</v>
      </c>
      <c r="C9" s="146">
        <f>Summary!E65/1000</f>
        <v>162.89691059</v>
      </c>
    </row>
    <row r="10" spans="1:3" ht="25.5" x14ac:dyDescent="0.2">
      <c r="A10" s="144" t="s">
        <v>282</v>
      </c>
      <c r="B10" s="146" t="e">
        <f>Summary!#REF!/1000</f>
        <v>#REF!</v>
      </c>
      <c r="C10" s="146" t="e">
        <f>Summary!#REF!/1000</f>
        <v>#REF!</v>
      </c>
    </row>
  </sheetData>
  <mergeCells count="1">
    <mergeCell ref="B2:C2"/>
  </mergeCells>
  <pageMargins left="0.7" right="0.7" top="0.75" bottom="0.75" header="0.3" footer="0.3"/>
  <pageSetup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8" sqref="A8:A9"/>
    </sheetView>
  </sheetViews>
  <sheetFormatPr defaultRowHeight="12.75" x14ac:dyDescent="0.2"/>
  <cols>
    <col min="1" max="1" width="17.7109375" customWidth="1"/>
    <col min="2" max="2" width="15.5703125" customWidth="1"/>
    <col min="3" max="3" width="16.140625" customWidth="1"/>
  </cols>
  <sheetData>
    <row r="1" spans="1:3" x14ac:dyDescent="0.2">
      <c r="A1" s="137" t="s">
        <v>247</v>
      </c>
      <c r="B1" s="321" t="s">
        <v>88</v>
      </c>
      <c r="C1" s="322"/>
    </row>
    <row r="2" spans="1:3" ht="38.25" x14ac:dyDescent="0.2">
      <c r="A2" s="137"/>
      <c r="B2" s="138" t="s">
        <v>248</v>
      </c>
      <c r="C2" s="138" t="s">
        <v>249</v>
      </c>
    </row>
    <row r="3" spans="1:3" ht="25.5" customHeight="1" x14ac:dyDescent="0.2">
      <c r="A3" s="139" t="s">
        <v>250</v>
      </c>
      <c r="B3" s="146">
        <f>[3]Summary!B72/1000</f>
        <v>3.5765280000000002</v>
      </c>
      <c r="C3" s="146">
        <f>[3]Summary!C72/1000</f>
        <v>16.358682999999999</v>
      </c>
    </row>
    <row r="4" spans="1:3" ht="25.5" customHeight="1" x14ac:dyDescent="0.2">
      <c r="A4" s="139" t="s">
        <v>206</v>
      </c>
      <c r="B4" s="146">
        <f>[3]Summary!D72/1000</f>
        <v>3.6411379999999998</v>
      </c>
      <c r="C4" s="146">
        <f>[3]Summary!E72/1000</f>
        <v>16.984594999999999</v>
      </c>
    </row>
    <row r="5" spans="1:3" ht="25.5" customHeight="1" x14ac:dyDescent="0.2">
      <c r="A5" s="143" t="s">
        <v>251</v>
      </c>
      <c r="B5" s="146">
        <f>[3]Summary!F72/1000</f>
        <v>3.6832710000000004</v>
      </c>
      <c r="C5" s="146">
        <f>[3]Summary!G72/1000</f>
        <v>17.433870999999996</v>
      </c>
    </row>
    <row r="6" spans="1:3" ht="25.5" customHeight="1" x14ac:dyDescent="0.2">
      <c r="A6" s="143" t="s">
        <v>252</v>
      </c>
      <c r="B6" s="146">
        <f>[3]Summary!H72/1000</f>
        <v>3.6903040000000003</v>
      </c>
      <c r="C6" s="146">
        <f>[3]Summary!I72/1000</f>
        <v>17.462157999999999</v>
      </c>
    </row>
    <row r="7" spans="1:3" ht="25.5" x14ac:dyDescent="0.2">
      <c r="A7" s="144" t="s">
        <v>253</v>
      </c>
      <c r="B7" s="146">
        <f>[4]Summary!J72/1000</f>
        <v>3.6743230000000002</v>
      </c>
      <c r="C7" s="146">
        <f>[4]Summary!K72/1000</f>
        <v>16.598172999999999</v>
      </c>
    </row>
    <row r="8" spans="1:3" ht="25.5" x14ac:dyDescent="0.2">
      <c r="A8" s="144" t="s">
        <v>281</v>
      </c>
      <c r="B8" s="146">
        <f>Summary!D81/1000</f>
        <v>3.6745970000000008</v>
      </c>
      <c r="C8" s="146">
        <f>Summary!E81/1000</f>
        <v>16.30122347513143</v>
      </c>
    </row>
    <row r="9" spans="1:3" ht="25.5" x14ac:dyDescent="0.2">
      <c r="A9" s="144" t="s">
        <v>282</v>
      </c>
      <c r="B9" s="146" t="e">
        <f>Summary!#REF!/1000</f>
        <v>#REF!</v>
      </c>
      <c r="C9" s="146" t="e">
        <f>Summary!#REF!/1000</f>
        <v>#REF!</v>
      </c>
    </row>
  </sheetData>
  <mergeCells count="1">
    <mergeCell ref="B1:C1"/>
  </mergeCells>
  <pageMargins left="0.7" right="0.7" top="0.75" bottom="0.75" header="0.3" footer="0.3"/>
  <pageSetup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2" workbookViewId="0">
      <selection activeCell="G22" sqref="G22"/>
    </sheetView>
  </sheetViews>
  <sheetFormatPr defaultRowHeight="12.75" x14ac:dyDescent="0.2"/>
  <cols>
    <col min="1" max="1" width="16" customWidth="1"/>
    <col min="2" max="2" width="18.7109375" customWidth="1"/>
    <col min="3" max="3" width="21" customWidth="1"/>
  </cols>
  <sheetData>
    <row r="1" spans="1:3" x14ac:dyDescent="0.2">
      <c r="A1" s="137" t="s">
        <v>247</v>
      </c>
      <c r="B1" s="321" t="s">
        <v>89</v>
      </c>
      <c r="C1" s="322"/>
    </row>
    <row r="2" spans="1:3" ht="25.5" x14ac:dyDescent="0.2">
      <c r="A2" s="137"/>
      <c r="B2" s="138" t="s">
        <v>248</v>
      </c>
      <c r="C2" s="138" t="s">
        <v>249</v>
      </c>
    </row>
    <row r="3" spans="1:3" ht="30" customHeight="1" x14ac:dyDescent="0.2">
      <c r="A3" s="139" t="s">
        <v>250</v>
      </c>
      <c r="B3" s="146">
        <f>[3]Summary!B92/1000</f>
        <v>3.2124709999999999</v>
      </c>
      <c r="C3" s="146">
        <f>[3]Summary!C92/1000</f>
        <v>5.9514579999999997</v>
      </c>
    </row>
    <row r="4" spans="1:3" ht="30" customHeight="1" x14ac:dyDescent="0.2">
      <c r="A4" s="139" t="s">
        <v>206</v>
      </c>
      <c r="B4" s="146">
        <f>[3]Summary!D92/1000</f>
        <v>3.0758989999999997</v>
      </c>
      <c r="C4" s="146">
        <f>[3]Summary!E92/1000</f>
        <v>5.7435240999999992</v>
      </c>
    </row>
    <row r="5" spans="1:3" ht="30" customHeight="1" x14ac:dyDescent="0.2">
      <c r="A5" s="143" t="s">
        <v>251</v>
      </c>
      <c r="B5" s="146">
        <f>[3]Summary!F92/1000</f>
        <v>3.0758989999999997</v>
      </c>
      <c r="C5" s="146">
        <f>[3]Summary!G92/1000</f>
        <v>5.7435240999999992</v>
      </c>
    </row>
    <row r="6" spans="1:3" ht="30" customHeight="1" x14ac:dyDescent="0.2">
      <c r="A6" s="143" t="s">
        <v>252</v>
      </c>
      <c r="B6" s="146">
        <f>[3]Summary!H92/1000</f>
        <v>3.1456960000000005</v>
      </c>
      <c r="C6" s="146">
        <f>[3]Summary!I92/1000</f>
        <v>5.8339399999999983</v>
      </c>
    </row>
    <row r="7" spans="1:3" ht="25.5" x14ac:dyDescent="0.2">
      <c r="A7" s="144" t="s">
        <v>253</v>
      </c>
      <c r="B7" s="146">
        <v>3.2349999999999999</v>
      </c>
      <c r="C7" s="146">
        <v>5.931</v>
      </c>
    </row>
    <row r="8" spans="1:3" ht="25.5" x14ac:dyDescent="0.2">
      <c r="A8" s="144" t="s">
        <v>281</v>
      </c>
      <c r="B8" s="146">
        <f>Summary!D101/1000</f>
        <v>3.1632410000000006</v>
      </c>
      <c r="C8" s="146">
        <f>Summary!E101/1000</f>
        <v>5.9082899999999992</v>
      </c>
    </row>
    <row r="9" spans="1:3" ht="25.5" x14ac:dyDescent="0.2">
      <c r="A9" s="144" t="s">
        <v>282</v>
      </c>
      <c r="B9" s="146" t="e">
        <f>Summary!#REF!/1000</f>
        <v>#REF!</v>
      </c>
      <c r="C9" s="146" t="e">
        <f>Summary!#REF!/1000</f>
        <v>#REF!</v>
      </c>
    </row>
  </sheetData>
  <mergeCells count="1">
    <mergeCell ref="B1:C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1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E47" sqref="E47"/>
    </sheetView>
  </sheetViews>
  <sheetFormatPr defaultRowHeight="26.25" customHeight="1" x14ac:dyDescent="0.25"/>
  <cols>
    <col min="1" max="1" width="20.85546875" style="182" customWidth="1"/>
    <col min="2" max="9" width="8.28515625" style="182" customWidth="1"/>
    <col min="10" max="11" width="10.140625" style="182" customWidth="1"/>
    <col min="12" max="31" width="8.28515625" style="182" customWidth="1"/>
    <col min="32" max="55" width="11.85546875" style="182" customWidth="1"/>
    <col min="56" max="16384" width="9.140625" style="182"/>
  </cols>
  <sheetData>
    <row r="1" spans="1:55" ht="30.75" customHeight="1" x14ac:dyDescent="0.25">
      <c r="A1" s="181" t="s">
        <v>202</v>
      </c>
      <c r="B1" s="253" t="s">
        <v>91</v>
      </c>
      <c r="C1" s="253"/>
      <c r="D1" s="256" t="s">
        <v>213</v>
      </c>
      <c r="E1" s="255"/>
      <c r="F1" s="254" t="s">
        <v>0</v>
      </c>
      <c r="G1" s="255"/>
      <c r="H1" s="254" t="s">
        <v>92</v>
      </c>
      <c r="I1" s="255"/>
      <c r="J1" s="254" t="s">
        <v>1</v>
      </c>
      <c r="K1" s="255"/>
      <c r="L1" s="254" t="s">
        <v>93</v>
      </c>
      <c r="M1" s="255"/>
      <c r="N1" s="257" t="s">
        <v>94</v>
      </c>
      <c r="O1" s="258"/>
      <c r="P1" s="253" t="s">
        <v>95</v>
      </c>
      <c r="Q1" s="253"/>
      <c r="R1" s="253" t="s">
        <v>2</v>
      </c>
      <c r="S1" s="253"/>
      <c r="T1" s="254" t="s">
        <v>96</v>
      </c>
      <c r="U1" s="255"/>
      <c r="V1" s="253" t="s">
        <v>97</v>
      </c>
      <c r="W1" s="253"/>
      <c r="X1" s="253" t="s">
        <v>3</v>
      </c>
      <c r="Y1" s="253"/>
      <c r="Z1" s="253" t="s">
        <v>4</v>
      </c>
      <c r="AA1" s="253"/>
      <c r="AB1" s="253" t="s">
        <v>5</v>
      </c>
      <c r="AC1" s="253"/>
      <c r="AD1" s="254" t="s">
        <v>98</v>
      </c>
      <c r="AE1" s="255"/>
      <c r="AF1" s="254" t="s">
        <v>99</v>
      </c>
      <c r="AG1" s="255"/>
      <c r="AH1" s="253" t="s">
        <v>100</v>
      </c>
      <c r="AI1" s="253"/>
      <c r="AJ1" s="253" t="s">
        <v>101</v>
      </c>
      <c r="AK1" s="253"/>
      <c r="AL1" s="253" t="s">
        <v>102</v>
      </c>
      <c r="AM1" s="253"/>
      <c r="AN1" s="253" t="s">
        <v>6</v>
      </c>
      <c r="AO1" s="253"/>
      <c r="AP1" s="253" t="s">
        <v>103</v>
      </c>
      <c r="AQ1" s="253"/>
      <c r="AR1" s="253" t="s">
        <v>104</v>
      </c>
      <c r="AS1" s="253"/>
      <c r="AT1" s="253" t="s">
        <v>7</v>
      </c>
      <c r="AU1" s="253"/>
      <c r="AV1" s="254" t="s">
        <v>105</v>
      </c>
      <c r="AW1" s="255"/>
      <c r="AX1" s="253" t="s">
        <v>106</v>
      </c>
      <c r="AY1" s="253"/>
      <c r="AZ1" s="253" t="s">
        <v>107</v>
      </c>
      <c r="BA1" s="253"/>
      <c r="BB1" s="253" t="s">
        <v>108</v>
      </c>
      <c r="BC1" s="253"/>
    </row>
    <row r="2" spans="1:55" ht="18.75" customHeight="1" x14ac:dyDescent="0.25">
      <c r="A2" s="183"/>
      <c r="B2" s="181" t="s">
        <v>48</v>
      </c>
      <c r="C2" s="181" t="s">
        <v>10</v>
      </c>
      <c r="D2" s="181" t="s">
        <v>48</v>
      </c>
      <c r="E2" s="181" t="s">
        <v>10</v>
      </c>
      <c r="F2" s="181" t="s">
        <v>48</v>
      </c>
      <c r="G2" s="181" t="s">
        <v>10</v>
      </c>
      <c r="H2" s="181" t="s">
        <v>48</v>
      </c>
      <c r="I2" s="181" t="s">
        <v>10</v>
      </c>
      <c r="J2" s="181" t="s">
        <v>48</v>
      </c>
      <c r="K2" s="181" t="s">
        <v>10</v>
      </c>
      <c r="L2" s="181" t="s">
        <v>48</v>
      </c>
      <c r="M2" s="181" t="s">
        <v>10</v>
      </c>
      <c r="N2" s="181" t="s">
        <v>48</v>
      </c>
      <c r="O2" s="181" t="s">
        <v>10</v>
      </c>
      <c r="P2" s="181" t="s">
        <v>48</v>
      </c>
      <c r="Q2" s="181" t="s">
        <v>10</v>
      </c>
      <c r="R2" s="181" t="s">
        <v>48</v>
      </c>
      <c r="S2" s="181" t="s">
        <v>10</v>
      </c>
      <c r="T2" s="181" t="s">
        <v>48</v>
      </c>
      <c r="U2" s="181" t="s">
        <v>10</v>
      </c>
      <c r="V2" s="181" t="s">
        <v>48</v>
      </c>
      <c r="W2" s="181" t="s">
        <v>10</v>
      </c>
      <c r="X2" s="181" t="s">
        <v>48</v>
      </c>
      <c r="Y2" s="181" t="s">
        <v>10</v>
      </c>
      <c r="Z2" s="181" t="s">
        <v>48</v>
      </c>
      <c r="AA2" s="181" t="s">
        <v>10</v>
      </c>
      <c r="AB2" s="181" t="s">
        <v>48</v>
      </c>
      <c r="AC2" s="181" t="s">
        <v>10</v>
      </c>
      <c r="AD2" s="181" t="s">
        <v>48</v>
      </c>
      <c r="AE2" s="181" t="s">
        <v>10</v>
      </c>
      <c r="AF2" s="181" t="s">
        <v>48</v>
      </c>
      <c r="AG2" s="181" t="s">
        <v>10</v>
      </c>
      <c r="AH2" s="181" t="s">
        <v>48</v>
      </c>
      <c r="AI2" s="181" t="s">
        <v>10</v>
      </c>
      <c r="AJ2" s="181" t="s">
        <v>48</v>
      </c>
      <c r="AK2" s="181" t="s">
        <v>10</v>
      </c>
      <c r="AL2" s="181" t="s">
        <v>48</v>
      </c>
      <c r="AM2" s="181" t="s">
        <v>10</v>
      </c>
      <c r="AN2" s="181" t="s">
        <v>48</v>
      </c>
      <c r="AO2" s="181" t="s">
        <v>10</v>
      </c>
      <c r="AP2" s="181" t="s">
        <v>48</v>
      </c>
      <c r="AQ2" s="181" t="s">
        <v>10</v>
      </c>
      <c r="AR2" s="181" t="s">
        <v>48</v>
      </c>
      <c r="AS2" s="181" t="s">
        <v>10</v>
      </c>
      <c r="AT2" s="181" t="s">
        <v>48</v>
      </c>
      <c r="AU2" s="181" t="s">
        <v>10</v>
      </c>
      <c r="AV2" s="181" t="s">
        <v>48</v>
      </c>
      <c r="AW2" s="181" t="s">
        <v>10</v>
      </c>
      <c r="AX2" s="181" t="s">
        <v>48</v>
      </c>
      <c r="AY2" s="181" t="s">
        <v>10</v>
      </c>
      <c r="AZ2" s="181" t="s">
        <v>48</v>
      </c>
      <c r="BA2" s="181" t="s">
        <v>10</v>
      </c>
      <c r="BB2" s="181" t="s">
        <v>48</v>
      </c>
      <c r="BC2" s="181" t="s">
        <v>10</v>
      </c>
    </row>
    <row r="3" spans="1:55" ht="15.75" customHeight="1" x14ac:dyDescent="0.25">
      <c r="A3" s="184" t="s">
        <v>11</v>
      </c>
      <c r="B3" s="185"/>
      <c r="C3" s="185"/>
      <c r="D3" s="185"/>
      <c r="E3" s="185"/>
      <c r="F3" s="185"/>
      <c r="G3" s="185"/>
      <c r="H3" s="185"/>
      <c r="I3" s="185"/>
      <c r="J3" s="185">
        <v>1.82</v>
      </c>
      <c r="K3" s="185">
        <v>14.04</v>
      </c>
      <c r="L3" s="185"/>
      <c r="M3" s="185"/>
      <c r="N3" s="185">
        <v>0.03</v>
      </c>
      <c r="O3" s="185">
        <v>0.04</v>
      </c>
      <c r="P3" s="185"/>
      <c r="Q3" s="185"/>
      <c r="R3" s="185">
        <v>0.08</v>
      </c>
      <c r="S3" s="185">
        <v>0.21</v>
      </c>
      <c r="T3" s="185"/>
      <c r="U3" s="185"/>
      <c r="V3" s="185"/>
      <c r="W3" s="185"/>
      <c r="X3" s="185"/>
      <c r="Y3" s="185"/>
      <c r="Z3" s="185">
        <v>0.4</v>
      </c>
      <c r="AA3" s="185">
        <v>3.85</v>
      </c>
      <c r="AB3" s="185">
        <v>0.32</v>
      </c>
      <c r="AC3" s="185">
        <v>2.7</v>
      </c>
      <c r="AD3" s="185"/>
      <c r="AE3" s="185"/>
      <c r="AF3" s="186">
        <f>' Citrus 2013-14(Final)'!J3</f>
        <v>0.35000000000000003</v>
      </c>
      <c r="AG3" s="186">
        <f>' Citrus 2013-14(Final)'!K3</f>
        <v>2.2999999999999998</v>
      </c>
      <c r="AH3" s="185"/>
      <c r="AI3" s="185"/>
      <c r="AJ3" s="185"/>
      <c r="AK3" s="185"/>
      <c r="AL3" s="185"/>
      <c r="AM3" s="185"/>
      <c r="AN3" s="185">
        <v>0.12</v>
      </c>
      <c r="AO3" s="185">
        <v>2.2999999999999998</v>
      </c>
      <c r="AP3" s="185"/>
      <c r="AQ3" s="185"/>
      <c r="AR3" s="185">
        <v>0.01</v>
      </c>
      <c r="AS3" s="185">
        <v>0</v>
      </c>
      <c r="AT3" s="185">
        <v>0.28000000000000003</v>
      </c>
      <c r="AU3" s="185">
        <v>3.29</v>
      </c>
      <c r="AV3" s="185"/>
      <c r="AW3" s="185"/>
      <c r="AX3" s="185"/>
      <c r="AY3" s="185"/>
      <c r="AZ3" s="185">
        <v>0.14000000000000001</v>
      </c>
      <c r="BA3" s="185">
        <v>1</v>
      </c>
      <c r="BB3" s="186">
        <f>B3+D3+F3+H3+J3+L3+N3+P3+R3+T3+V3+X3+Z3+AB3+AD3+AF3+AH3+AJ3+AL3+AN3+AP3+AR3+AT3+AV3+AX3+AZ3</f>
        <v>3.5500000000000003</v>
      </c>
      <c r="BC3" s="186">
        <f>C3+E3+G3+I3+K3+M3+O3+Q3+S3+U3+W3+Y3+AA3+AC3+AE3+AG3+AI3+AK3+AM3+AO3+AQ3+AS3+AU3+AW3+AY3+BA3</f>
        <v>29.73</v>
      </c>
    </row>
    <row r="4" spans="1:55" ht="15.75" customHeight="1" x14ac:dyDescent="0.25">
      <c r="A4" s="184" t="s">
        <v>12</v>
      </c>
      <c r="B4" s="185"/>
      <c r="C4" s="185"/>
      <c r="D4" s="185">
        <v>10.936999999999999</v>
      </c>
      <c r="E4" s="185">
        <v>54.686</v>
      </c>
      <c r="F4" s="185"/>
      <c r="G4" s="185"/>
      <c r="H4" s="185"/>
      <c r="I4" s="185"/>
      <c r="J4" s="185">
        <v>90.483000000000004</v>
      </c>
      <c r="K4" s="185">
        <v>3166.8969999999999</v>
      </c>
      <c r="L4" s="185">
        <v>10.785</v>
      </c>
      <c r="M4" s="185">
        <v>302.16800000000001</v>
      </c>
      <c r="N4" s="185">
        <v>2.2629999999999999</v>
      </c>
      <c r="O4" s="185">
        <v>13.58</v>
      </c>
      <c r="P4" s="185">
        <v>0.42499999999999999</v>
      </c>
      <c r="Q4" s="185">
        <v>8.9250000000000007</v>
      </c>
      <c r="R4" s="185">
        <v>6.9379999999999997</v>
      </c>
      <c r="S4" s="185">
        <v>104.077</v>
      </c>
      <c r="T4" s="185">
        <v>0.245</v>
      </c>
      <c r="U4" s="185">
        <v>1.006</v>
      </c>
      <c r="V4" s="185"/>
      <c r="W4" s="185"/>
      <c r="X4" s="185"/>
      <c r="Y4" s="185"/>
      <c r="Z4" s="185">
        <v>304.11099999999999</v>
      </c>
      <c r="AA4" s="185">
        <v>2737.0079999999998</v>
      </c>
      <c r="AB4" s="185">
        <v>19.309999999999999</v>
      </c>
      <c r="AC4" s="185">
        <v>1544.7650000000001</v>
      </c>
      <c r="AD4" s="185"/>
      <c r="AE4" s="185"/>
      <c r="AF4" s="186">
        <f>' Citrus 2013-14(Final)'!J4</f>
        <v>137.416</v>
      </c>
      <c r="AG4" s="186">
        <f>' Citrus 2013-14(Final)'!K4</f>
        <v>1913.3809999999999</v>
      </c>
      <c r="AH4" s="185"/>
      <c r="AI4" s="185"/>
      <c r="AJ4" s="185"/>
      <c r="AK4" s="185"/>
      <c r="AL4" s="185"/>
      <c r="AM4" s="185"/>
      <c r="AN4" s="185">
        <v>2.2999999999999998</v>
      </c>
      <c r="AO4" s="185">
        <v>86</v>
      </c>
      <c r="AP4" s="185"/>
      <c r="AQ4" s="185"/>
      <c r="AR4" s="185">
        <v>6.0010000000000003</v>
      </c>
      <c r="AS4" s="185">
        <v>90.012</v>
      </c>
      <c r="AT4" s="185">
        <v>24.747</v>
      </c>
      <c r="AU4" s="185">
        <v>247.17</v>
      </c>
      <c r="AV4" s="185"/>
      <c r="AW4" s="185"/>
      <c r="AX4" s="185"/>
      <c r="AY4" s="185"/>
      <c r="AZ4" s="185">
        <v>24.088000000000001</v>
      </c>
      <c r="BA4" s="185">
        <v>240.881</v>
      </c>
      <c r="BB4" s="186">
        <f t="shared" ref="BB4:BB37" si="0">B4+D4+F4+H4+J4+L4+N4+P4+R4+T4+V4+X4+Z4+AB4+AD4+AF4+AH4+AJ4+AL4+AN4+AP4+AR4+AT4+AV4+AX4+AZ4</f>
        <v>640.04899999999986</v>
      </c>
      <c r="BC4" s="186">
        <f t="shared" ref="BC4:BC37" si="1">C4+E4+G4+I4+K4+M4+O4+Q4+S4+U4+W4+Y4+AA4+AC4+AE4+AG4+AI4+AK4+AM4+AO4+AQ4+AS4+AU4+AW4+AY4+BA4</f>
        <v>10510.556</v>
      </c>
    </row>
    <row r="5" spans="1:55" ht="15.75" customHeight="1" x14ac:dyDescent="0.25">
      <c r="A5" s="187" t="s">
        <v>13</v>
      </c>
      <c r="B5" s="185"/>
      <c r="C5" s="185"/>
      <c r="D5" s="185"/>
      <c r="E5" s="185"/>
      <c r="F5" s="185">
        <v>14.28</v>
      </c>
      <c r="G5" s="185">
        <v>31.873000000000001</v>
      </c>
      <c r="H5" s="185"/>
      <c r="I5" s="185"/>
      <c r="J5" s="185">
        <v>6.2320000000000002</v>
      </c>
      <c r="K5" s="185">
        <v>19.094999999999999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>
        <v>4.0519999999999996</v>
      </c>
      <c r="W5" s="185">
        <v>4.056</v>
      </c>
      <c r="X5" s="185"/>
      <c r="Y5" s="185"/>
      <c r="Z5" s="185"/>
      <c r="AA5" s="185"/>
      <c r="AB5" s="185"/>
      <c r="AC5" s="185"/>
      <c r="AD5" s="185"/>
      <c r="AE5" s="185"/>
      <c r="AF5" s="186">
        <f>' Citrus 2013-14(Final)'!J5</f>
        <v>39.880000000000003</v>
      </c>
      <c r="AG5" s="186">
        <f>' Citrus 2013-14(Final)'!K5</f>
        <v>182.1</v>
      </c>
      <c r="AH5" s="185"/>
      <c r="AI5" s="185"/>
      <c r="AJ5" s="185"/>
      <c r="AK5" s="185"/>
      <c r="AL5" s="185"/>
      <c r="AM5" s="185"/>
      <c r="AN5" s="185">
        <v>12.78</v>
      </c>
      <c r="AO5" s="185">
        <v>69.606999999999999</v>
      </c>
      <c r="AP5" s="185"/>
      <c r="AQ5" s="185"/>
      <c r="AR5" s="185"/>
      <c r="AS5" s="185"/>
      <c r="AT5" s="185"/>
      <c r="AU5" s="185"/>
      <c r="AV5" s="185"/>
      <c r="AW5" s="185"/>
      <c r="AX5" s="185">
        <v>4.9249999999999998</v>
      </c>
      <c r="AY5" s="185">
        <v>0.59099999999999997</v>
      </c>
      <c r="AZ5" s="185">
        <v>6.94</v>
      </c>
      <c r="BA5" s="185">
        <v>13.935</v>
      </c>
      <c r="BB5" s="186">
        <f t="shared" si="0"/>
        <v>89.088999999999999</v>
      </c>
      <c r="BC5" s="186">
        <f t="shared" si="1"/>
        <v>321.25700000000001</v>
      </c>
    </row>
    <row r="6" spans="1:55" ht="15.75" customHeight="1" x14ac:dyDescent="0.25">
      <c r="A6" s="184" t="s">
        <v>14</v>
      </c>
      <c r="B6" s="185"/>
      <c r="C6" s="185"/>
      <c r="D6" s="185">
        <v>0.89900000000000002</v>
      </c>
      <c r="E6" s="185">
        <v>16.271999999999998</v>
      </c>
      <c r="F6" s="185"/>
      <c r="G6" s="185"/>
      <c r="H6" s="185"/>
      <c r="I6" s="185"/>
      <c r="J6" s="185">
        <v>50.805999999999997</v>
      </c>
      <c r="K6" s="185">
        <v>857.72</v>
      </c>
      <c r="L6" s="185"/>
      <c r="M6" s="185"/>
      <c r="N6" s="185"/>
      <c r="O6" s="185"/>
      <c r="P6" s="185"/>
      <c r="Q6" s="185"/>
      <c r="R6" s="185">
        <v>4.1849999999999996</v>
      </c>
      <c r="S6" s="185">
        <v>83.798000000000002</v>
      </c>
      <c r="T6" s="185">
        <v>21.844999999999999</v>
      </c>
      <c r="U6" s="185">
        <v>192.518</v>
      </c>
      <c r="V6" s="185"/>
      <c r="W6" s="185"/>
      <c r="X6" s="185">
        <v>5.3810000000000002</v>
      </c>
      <c r="Y6" s="185">
        <v>48.079000000000001</v>
      </c>
      <c r="Z6" s="185">
        <v>4.4870000000000001</v>
      </c>
      <c r="AA6" s="185">
        <v>44.593000000000004</v>
      </c>
      <c r="AB6" s="185">
        <v>7.4950000000000001</v>
      </c>
      <c r="AC6" s="185">
        <v>149.14400000000001</v>
      </c>
      <c r="AD6" s="185"/>
      <c r="AE6" s="185"/>
      <c r="AF6" s="186">
        <f>' Citrus 2013-14(Final)'!J6</f>
        <v>28.784000000000002</v>
      </c>
      <c r="AG6" s="186">
        <f>' Citrus 2013-14(Final)'!K6</f>
        <v>294.08600000000001</v>
      </c>
      <c r="AH6" s="185"/>
      <c r="AI6" s="185"/>
      <c r="AJ6" s="185"/>
      <c r="AK6" s="185"/>
      <c r="AL6" s="185"/>
      <c r="AM6" s="185"/>
      <c r="AN6" s="185">
        <v>16.536000000000001</v>
      </c>
      <c r="AO6" s="185">
        <v>288.596</v>
      </c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>
        <v>4.26</v>
      </c>
      <c r="BA6" s="185">
        <v>32.993000000000002</v>
      </c>
      <c r="BB6" s="186">
        <f t="shared" si="0"/>
        <v>144.678</v>
      </c>
      <c r="BC6" s="186">
        <f t="shared" si="1"/>
        <v>2007.799</v>
      </c>
    </row>
    <row r="7" spans="1:55" ht="15.75" customHeight="1" x14ac:dyDescent="0.25">
      <c r="A7" s="184" t="s">
        <v>15</v>
      </c>
      <c r="B7" s="185"/>
      <c r="C7" s="185"/>
      <c r="D7" s="185">
        <v>1.6879999999999999</v>
      </c>
      <c r="E7" s="185">
        <v>14.956</v>
      </c>
      <c r="F7" s="185"/>
      <c r="G7" s="185"/>
      <c r="H7" s="185"/>
      <c r="I7" s="185"/>
      <c r="J7" s="185">
        <v>34.314</v>
      </c>
      <c r="K7" s="185">
        <v>1435.779</v>
      </c>
      <c r="L7" s="185">
        <v>0.48899999999999999</v>
      </c>
      <c r="M7" s="185">
        <v>2.65</v>
      </c>
      <c r="N7" s="185">
        <v>0.191</v>
      </c>
      <c r="O7" s="185">
        <v>0.79300000000000004</v>
      </c>
      <c r="P7" s="185"/>
      <c r="Q7" s="185"/>
      <c r="R7" s="185">
        <v>29.957999999999998</v>
      </c>
      <c r="S7" s="185">
        <v>373.70499999999998</v>
      </c>
      <c r="T7" s="185">
        <v>0.81</v>
      </c>
      <c r="U7" s="185">
        <v>16.021000000000001</v>
      </c>
      <c r="V7" s="185"/>
      <c r="W7" s="185"/>
      <c r="X7" s="185">
        <v>31.483000000000001</v>
      </c>
      <c r="Y7" s="185">
        <v>234.2</v>
      </c>
      <c r="Z7" s="185">
        <f>136.803-1.35+13.55</f>
        <v>149.00300000000001</v>
      </c>
      <c r="AA7" s="185">
        <f>1355.056-1.39+13.9</f>
        <v>1367.566</v>
      </c>
      <c r="AB7" s="185">
        <v>1.988</v>
      </c>
      <c r="AC7" s="185">
        <v>39.966999999999999</v>
      </c>
      <c r="AD7" s="185"/>
      <c r="AE7" s="185"/>
      <c r="AF7" s="186">
        <f>' Citrus 2013-14(Final)'!J7</f>
        <v>17.952000000000002</v>
      </c>
      <c r="AG7" s="186">
        <f>' Citrus 2013-14(Final)'!K7</f>
        <v>128.904</v>
      </c>
      <c r="AH7" s="185"/>
      <c r="AI7" s="185"/>
      <c r="AJ7" s="185"/>
      <c r="AK7" s="185"/>
      <c r="AL7" s="185"/>
      <c r="AM7" s="185"/>
      <c r="AN7" s="185">
        <v>4.16</v>
      </c>
      <c r="AO7" s="185">
        <v>113.91200000000001</v>
      </c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>
        <f>574.484-545+0.545</f>
        <v>30.029000000000039</v>
      </c>
      <c r="BA7" s="185">
        <v>285.12200000000001</v>
      </c>
      <c r="BB7" s="186">
        <f t="shared" si="0"/>
        <v>302.06500000000011</v>
      </c>
      <c r="BC7" s="186">
        <f t="shared" si="1"/>
        <v>4013.5749999999998</v>
      </c>
    </row>
    <row r="8" spans="1:55" ht="15.75" customHeight="1" x14ac:dyDescent="0.25">
      <c r="A8" s="184" t="s">
        <v>197</v>
      </c>
      <c r="B8" s="185"/>
      <c r="C8" s="185"/>
      <c r="D8" s="185">
        <v>3.21</v>
      </c>
      <c r="E8" s="185">
        <v>37.659999999999997</v>
      </c>
      <c r="F8" s="185"/>
      <c r="G8" s="185"/>
      <c r="H8" s="185"/>
      <c r="I8" s="185"/>
      <c r="J8" s="185">
        <v>20.79</v>
      </c>
      <c r="K8" s="185">
        <v>498.81</v>
      </c>
      <c r="L8" s="185">
        <v>4.03</v>
      </c>
      <c r="M8" s="185">
        <v>76.13</v>
      </c>
      <c r="N8" s="185">
        <v>7.75</v>
      </c>
      <c r="O8" s="185">
        <v>36.65</v>
      </c>
      <c r="P8" s="185"/>
      <c r="Q8" s="185"/>
      <c r="R8" s="185">
        <v>19.27</v>
      </c>
      <c r="S8" s="185">
        <v>162.77000000000001</v>
      </c>
      <c r="T8" s="185">
        <v>8.3800000000000008</v>
      </c>
      <c r="U8" s="185">
        <v>158.76</v>
      </c>
      <c r="V8" s="185"/>
      <c r="W8" s="185"/>
      <c r="X8" s="185">
        <v>5.36</v>
      </c>
      <c r="Y8" s="185">
        <v>37.630000000000003</v>
      </c>
      <c r="Z8" s="185">
        <v>64.349999999999994</v>
      </c>
      <c r="AA8" s="185">
        <v>327.91</v>
      </c>
      <c r="AB8" s="185">
        <v>10.88</v>
      </c>
      <c r="AC8" s="185">
        <v>286.83999999999997</v>
      </c>
      <c r="AD8" s="185"/>
      <c r="AE8" s="185"/>
      <c r="AF8" s="186">
        <f>' Citrus 2013-14(Final)'!J8</f>
        <v>11.81</v>
      </c>
      <c r="AG8" s="186">
        <f>' Citrus 2013-14(Final)'!K8</f>
        <v>80.62</v>
      </c>
      <c r="AH8" s="185"/>
      <c r="AI8" s="185"/>
      <c r="AJ8" s="185">
        <v>1</v>
      </c>
      <c r="AK8" s="185">
        <v>4.74</v>
      </c>
      <c r="AL8" s="185"/>
      <c r="AM8" s="185"/>
      <c r="AN8" s="185"/>
      <c r="AO8" s="185"/>
      <c r="AP8" s="185"/>
      <c r="AQ8" s="185"/>
      <c r="AR8" s="185">
        <v>0.14000000000000001</v>
      </c>
      <c r="AS8" s="185">
        <v>0.51</v>
      </c>
      <c r="AT8" s="185">
        <v>0.19</v>
      </c>
      <c r="AU8" s="185">
        <v>0.99</v>
      </c>
      <c r="AV8" s="185"/>
      <c r="AW8" s="185"/>
      <c r="AX8" s="185"/>
      <c r="AY8" s="185"/>
      <c r="AZ8" s="185">
        <v>55.73</v>
      </c>
      <c r="BA8" s="185">
        <v>220.16</v>
      </c>
      <c r="BB8" s="186">
        <f t="shared" si="0"/>
        <v>212.88999999999996</v>
      </c>
      <c r="BC8" s="186">
        <f t="shared" si="1"/>
        <v>1930.1799999999998</v>
      </c>
    </row>
    <row r="9" spans="1:55" ht="15.75" customHeight="1" x14ac:dyDescent="0.25">
      <c r="A9" s="184" t="s">
        <v>16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6">
        <f>' Citrus 2013-14(Final)'!J9</f>
        <v>0</v>
      </c>
      <c r="AG9" s="186">
        <f>' Citrus 2013-14(Final)'!K9</f>
        <v>0</v>
      </c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6">
        <f t="shared" si="0"/>
        <v>0</v>
      </c>
      <c r="BC9" s="186">
        <f t="shared" si="1"/>
        <v>0</v>
      </c>
    </row>
    <row r="10" spans="1:55" ht="15.75" customHeight="1" x14ac:dyDescent="0.25">
      <c r="A10" s="184" t="s">
        <v>17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6">
        <f>' Citrus 2013-14(Final)'!J10</f>
        <v>0</v>
      </c>
      <c r="AG10" s="186">
        <f>' Citrus 2013-14(Final)'!K10</f>
        <v>0</v>
      </c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6">
        <f t="shared" si="0"/>
        <v>0</v>
      </c>
      <c r="BC10" s="186">
        <f t="shared" si="1"/>
        <v>0</v>
      </c>
    </row>
    <row r="11" spans="1:55" ht="15.75" customHeight="1" x14ac:dyDescent="0.25">
      <c r="A11" s="184" t="s">
        <v>18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>
        <f>' Citrus 2013-14(Final)'!J11</f>
        <v>0</v>
      </c>
      <c r="AG11" s="186">
        <f>' Citrus 2013-14(Final)'!K11</f>
        <v>0</v>
      </c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6">
        <f t="shared" si="0"/>
        <v>0</v>
      </c>
      <c r="BC11" s="186">
        <f t="shared" si="1"/>
        <v>0</v>
      </c>
    </row>
    <row r="12" spans="1:55" ht="15.75" customHeight="1" x14ac:dyDescent="0.25">
      <c r="A12" s="184" t="s">
        <v>19</v>
      </c>
      <c r="B12" s="185"/>
      <c r="C12" s="185"/>
      <c r="D12" s="185"/>
      <c r="E12" s="185"/>
      <c r="F12" s="185"/>
      <c r="G12" s="185"/>
      <c r="H12" s="185"/>
      <c r="I12" s="185"/>
      <c r="J12" s="185">
        <v>2.3239999999999998</v>
      </c>
      <c r="K12" s="185">
        <v>26.308</v>
      </c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>
        <v>4.819</v>
      </c>
      <c r="AA12" s="185">
        <v>8.9440000000000008</v>
      </c>
      <c r="AB12" s="185"/>
      <c r="AC12" s="185"/>
      <c r="AD12" s="185"/>
      <c r="AE12" s="185"/>
      <c r="AF12" s="186">
        <f>' Citrus 2013-14(Final)'!J12</f>
        <v>0</v>
      </c>
      <c r="AG12" s="186">
        <f>' Citrus 2013-14(Final)'!K12</f>
        <v>0</v>
      </c>
      <c r="AH12" s="185"/>
      <c r="AI12" s="185"/>
      <c r="AJ12" s="185"/>
      <c r="AK12" s="185"/>
      <c r="AL12" s="185"/>
      <c r="AM12" s="185"/>
      <c r="AN12" s="185">
        <v>0.29499999999999998</v>
      </c>
      <c r="AO12" s="185">
        <v>4.9000000000000004</v>
      </c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>
        <v>3.839</v>
      </c>
      <c r="BA12" s="185">
        <v>41.039000000000001</v>
      </c>
      <c r="BB12" s="186">
        <f t="shared" si="0"/>
        <v>11.276999999999999</v>
      </c>
      <c r="BC12" s="186">
        <f t="shared" si="1"/>
        <v>81.191000000000003</v>
      </c>
    </row>
    <row r="13" spans="1:55" ht="15.75" customHeight="1" x14ac:dyDescent="0.25">
      <c r="A13" s="184" t="s">
        <v>20</v>
      </c>
      <c r="B13" s="185"/>
      <c r="C13" s="185"/>
      <c r="D13" s="185">
        <v>11.38</v>
      </c>
      <c r="E13" s="185">
        <v>108.54</v>
      </c>
      <c r="F13" s="185"/>
      <c r="G13" s="185"/>
      <c r="H13" s="185"/>
      <c r="I13" s="185"/>
      <c r="J13" s="185">
        <v>66.5</v>
      </c>
      <c r="K13" s="185">
        <v>4225.49</v>
      </c>
      <c r="L13" s="185">
        <v>12.31</v>
      </c>
      <c r="M13" s="185">
        <v>123.78</v>
      </c>
      <c r="N13" s="185">
        <v>5.15</v>
      </c>
      <c r="O13" s="185">
        <v>52.2</v>
      </c>
      <c r="P13" s="185"/>
      <c r="Q13" s="185"/>
      <c r="R13" s="185">
        <v>10.81</v>
      </c>
      <c r="S13" s="185">
        <v>140.82</v>
      </c>
      <c r="T13" s="185"/>
      <c r="U13" s="185"/>
      <c r="V13" s="185"/>
      <c r="W13" s="185"/>
      <c r="X13" s="185"/>
      <c r="Y13" s="185"/>
      <c r="Z13" s="185">
        <v>142.69</v>
      </c>
      <c r="AA13" s="185">
        <v>1125.6099999999999</v>
      </c>
      <c r="AB13" s="185">
        <v>19.59</v>
      </c>
      <c r="AC13" s="185">
        <v>1185.47</v>
      </c>
      <c r="AD13" s="185"/>
      <c r="AE13" s="185"/>
      <c r="AF13" s="186">
        <f>' Citrus 2013-14(Final)'!J13</f>
        <v>41.08</v>
      </c>
      <c r="AG13" s="186">
        <f>' Citrus 2013-14(Final)'!K13</f>
        <v>449.24</v>
      </c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>
        <v>9.3800000000000008</v>
      </c>
      <c r="AS13" s="185">
        <v>99.33</v>
      </c>
      <c r="AT13" s="185">
        <v>28.61</v>
      </c>
      <c r="AU13" s="185">
        <v>297.02</v>
      </c>
      <c r="AV13" s="185"/>
      <c r="AW13" s="185"/>
      <c r="AX13" s="185"/>
      <c r="AY13" s="185"/>
      <c r="AZ13" s="185">
        <v>23.26</v>
      </c>
      <c r="BA13" s="185">
        <v>194.46</v>
      </c>
      <c r="BB13" s="186">
        <f t="shared" si="0"/>
        <v>370.76</v>
      </c>
      <c r="BC13" s="186">
        <f t="shared" si="1"/>
        <v>8001.9599999999982</v>
      </c>
    </row>
    <row r="14" spans="1:55" ht="15.75" customHeight="1" x14ac:dyDescent="0.25">
      <c r="A14" s="184" t="s">
        <v>21</v>
      </c>
      <c r="B14" s="185"/>
      <c r="C14" s="185"/>
      <c r="D14" s="185">
        <v>1.86</v>
      </c>
      <c r="E14" s="185">
        <v>12.94</v>
      </c>
      <c r="F14" s="185"/>
      <c r="G14" s="185"/>
      <c r="H14" s="185"/>
      <c r="I14" s="185"/>
      <c r="J14" s="185"/>
      <c r="K14" s="185"/>
      <c r="L14" s="185">
        <v>4.24</v>
      </c>
      <c r="M14" s="185">
        <v>42.45</v>
      </c>
      <c r="N14" s="185"/>
      <c r="O14" s="185"/>
      <c r="P14" s="185">
        <v>0.04</v>
      </c>
      <c r="Q14" s="185">
        <v>0.55000000000000004</v>
      </c>
      <c r="R14" s="185">
        <v>10.67</v>
      </c>
      <c r="S14" s="185">
        <v>125.04</v>
      </c>
      <c r="T14" s="185"/>
      <c r="U14" s="185"/>
      <c r="V14" s="185"/>
      <c r="W14" s="185"/>
      <c r="X14" s="185">
        <v>0.2</v>
      </c>
      <c r="Y14" s="185">
        <v>2.75</v>
      </c>
      <c r="Z14" s="185">
        <v>9.16</v>
      </c>
      <c r="AA14" s="185">
        <v>86.61</v>
      </c>
      <c r="AB14" s="185"/>
      <c r="AC14" s="185"/>
      <c r="AD14" s="185"/>
      <c r="AE14" s="185"/>
      <c r="AF14" s="186">
        <f>' Citrus 2013-14(Final)'!J14</f>
        <v>19.38</v>
      </c>
      <c r="AG14" s="186">
        <f>' Citrus 2013-14(Final)'!K14</f>
        <v>235.35</v>
      </c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>
        <v>1.57</v>
      </c>
      <c r="AU14" s="185">
        <v>13.4</v>
      </c>
      <c r="AV14" s="185"/>
      <c r="AW14" s="185"/>
      <c r="AX14" s="185"/>
      <c r="AY14" s="185"/>
      <c r="AZ14" s="185">
        <f>2.88+0.59</f>
        <v>3.4699999999999998</v>
      </c>
      <c r="BA14" s="185">
        <f>26.14+9.67</f>
        <v>35.81</v>
      </c>
      <c r="BB14" s="186">
        <f t="shared" si="0"/>
        <v>50.589999999999996</v>
      </c>
      <c r="BC14" s="186">
        <f t="shared" si="1"/>
        <v>554.90000000000009</v>
      </c>
    </row>
    <row r="15" spans="1:55" ht="15.75" customHeight="1" x14ac:dyDescent="0.25">
      <c r="A15" s="184" t="s">
        <v>22</v>
      </c>
      <c r="B15" s="185">
        <v>5.4119999999999999</v>
      </c>
      <c r="C15" s="185">
        <v>0.92900000000000005</v>
      </c>
      <c r="D15" s="185">
        <v>2.2429999999999999</v>
      </c>
      <c r="E15" s="185">
        <v>1.782</v>
      </c>
      <c r="F15" s="185">
        <v>107.68600000000001</v>
      </c>
      <c r="G15" s="185">
        <v>738.72299999999996</v>
      </c>
      <c r="H15" s="185">
        <v>1.4999999999999999E-2</v>
      </c>
      <c r="I15" s="185">
        <v>4.1000000000000002E-2</v>
      </c>
      <c r="J15" s="185">
        <v>8.8999999999999996E-2</v>
      </c>
      <c r="K15" s="185">
        <v>0.29299999999999998</v>
      </c>
      <c r="L15" s="185">
        <v>3.2000000000000001E-2</v>
      </c>
      <c r="M15" s="185">
        <v>8.9999999999999993E-3</v>
      </c>
      <c r="N15" s="185"/>
      <c r="O15" s="185"/>
      <c r="P15" s="185">
        <v>9.4E-2</v>
      </c>
      <c r="Q15" s="185">
        <v>0.128</v>
      </c>
      <c r="R15" s="185">
        <v>2.1960000000000002</v>
      </c>
      <c r="S15" s="185">
        <v>2.5019999999999998</v>
      </c>
      <c r="T15" s="185">
        <v>0.72299999999999998</v>
      </c>
      <c r="U15" s="185">
        <v>0.44800000000000001</v>
      </c>
      <c r="V15" s="185">
        <v>0.113</v>
      </c>
      <c r="W15" s="185">
        <v>0.114</v>
      </c>
      <c r="X15" s="185">
        <v>4.9720000000000004</v>
      </c>
      <c r="Y15" s="185">
        <v>3.2749999999999999</v>
      </c>
      <c r="Z15" s="185">
        <v>40.298000000000002</v>
      </c>
      <c r="AA15" s="185">
        <v>25.408000000000001</v>
      </c>
      <c r="AB15" s="185">
        <v>0.21199999999999999</v>
      </c>
      <c r="AC15" s="185">
        <v>1.28</v>
      </c>
      <c r="AD15" s="185"/>
      <c r="AE15" s="185"/>
      <c r="AF15" s="186">
        <f>' Citrus 2013-14(Final)'!J15</f>
        <v>23.11</v>
      </c>
      <c r="AG15" s="186">
        <f>' Citrus 2013-14(Final)'!K15</f>
        <v>22.273</v>
      </c>
      <c r="AH15" s="185">
        <v>5.1319999999999997</v>
      </c>
      <c r="AI15" s="185">
        <v>6.2709999999999999</v>
      </c>
      <c r="AJ15" s="185">
        <v>7.22</v>
      </c>
      <c r="AK15" s="185">
        <v>35.213999999999999</v>
      </c>
      <c r="AL15" s="185">
        <v>0.85499999999999998</v>
      </c>
      <c r="AM15" s="185">
        <v>0.159</v>
      </c>
      <c r="AN15" s="185"/>
      <c r="AO15" s="185"/>
      <c r="AP15" s="185">
        <v>8.5559999999999992</v>
      </c>
      <c r="AQ15" s="185">
        <v>15.991</v>
      </c>
      <c r="AR15" s="185">
        <v>2.1960000000000002</v>
      </c>
      <c r="AS15" s="185">
        <v>2.5390000000000001</v>
      </c>
      <c r="AT15" s="185">
        <v>4.8000000000000001E-2</v>
      </c>
      <c r="AU15" s="185">
        <v>1.2999999999999999E-2</v>
      </c>
      <c r="AV15" s="185">
        <v>5.3999999999999999E-2</v>
      </c>
      <c r="AW15" s="185">
        <v>0.48</v>
      </c>
      <c r="AX15" s="185">
        <v>4.5389999999999997</v>
      </c>
      <c r="AY15" s="185">
        <v>2.39</v>
      </c>
      <c r="AZ15" s="185">
        <f>1.311+3.6</f>
        <v>4.9109999999999996</v>
      </c>
      <c r="BA15" s="185">
        <f>3.165+2.917</f>
        <v>6.0819999999999999</v>
      </c>
      <c r="BB15" s="186">
        <f t="shared" si="0"/>
        <v>220.70599999999999</v>
      </c>
      <c r="BC15" s="186">
        <f t="shared" si="1"/>
        <v>866.34400000000005</v>
      </c>
    </row>
    <row r="16" spans="1:55" ht="15.75" customHeight="1" x14ac:dyDescent="0.25">
      <c r="A16" s="184" t="s">
        <v>23</v>
      </c>
      <c r="B16" s="185">
        <v>15.981999999999999</v>
      </c>
      <c r="C16" s="185">
        <v>11.815</v>
      </c>
      <c r="D16" s="185">
        <v>1.6319999999999999</v>
      </c>
      <c r="E16" s="185">
        <v>1.494</v>
      </c>
      <c r="F16" s="185">
        <v>160.86500000000001</v>
      </c>
      <c r="G16" s="185">
        <v>1647.6869999999999</v>
      </c>
      <c r="H16" s="185"/>
      <c r="I16" s="185"/>
      <c r="J16" s="185"/>
      <c r="K16" s="185"/>
      <c r="L16" s="185">
        <v>7.86</v>
      </c>
      <c r="M16" s="185">
        <v>13.43</v>
      </c>
      <c r="N16" s="185"/>
      <c r="O16" s="185"/>
      <c r="P16" s="185">
        <v>0.42699999999999999</v>
      </c>
      <c r="Q16" s="185">
        <v>0.74199999999999999</v>
      </c>
      <c r="R16" s="185">
        <v>2.4390000000000001</v>
      </c>
      <c r="S16" s="185">
        <v>5.7830000000000004</v>
      </c>
      <c r="T16" s="185"/>
      <c r="U16" s="185"/>
      <c r="V16" s="185">
        <v>0.02</v>
      </c>
      <c r="W16" s="185">
        <v>1.0999999999999999E-2</v>
      </c>
      <c r="X16" s="185">
        <v>0.99399999999999999</v>
      </c>
      <c r="Y16" s="185">
        <v>1.0649999999999999</v>
      </c>
      <c r="Z16" s="185">
        <v>12.912000000000001</v>
      </c>
      <c r="AA16" s="185">
        <v>6.9939999999999998</v>
      </c>
      <c r="AB16" s="185"/>
      <c r="AC16" s="185"/>
      <c r="AD16" s="185"/>
      <c r="AE16" s="185"/>
      <c r="AF16" s="186">
        <f>' Citrus 2013-14(Final)'!J16</f>
        <v>14.215999999999999</v>
      </c>
      <c r="AG16" s="186">
        <f>' Citrus 2013-14(Final)'!K16</f>
        <v>22.57</v>
      </c>
      <c r="AH16" s="185">
        <v>2.5470000000000002</v>
      </c>
      <c r="AI16" s="185">
        <v>7.5119999999999996</v>
      </c>
      <c r="AJ16" s="185">
        <v>14.804</v>
      </c>
      <c r="AK16" s="185">
        <v>73.515000000000001</v>
      </c>
      <c r="AL16" s="185">
        <v>0.61899999999999999</v>
      </c>
      <c r="AM16" s="185">
        <v>1.2E-2</v>
      </c>
      <c r="AN16" s="185"/>
      <c r="AO16" s="185"/>
      <c r="AP16" s="185">
        <v>4.7610000000000001</v>
      </c>
      <c r="AQ16" s="185">
        <v>10.81</v>
      </c>
      <c r="AR16" s="185">
        <v>0.111</v>
      </c>
      <c r="AS16" s="185">
        <v>0.34100000000000003</v>
      </c>
      <c r="AT16" s="185"/>
      <c r="AU16" s="185"/>
      <c r="AV16" s="185">
        <v>5.0999999999999997E-2</v>
      </c>
      <c r="AW16" s="185">
        <v>0.371</v>
      </c>
      <c r="AX16" s="185">
        <v>95.600999999999999</v>
      </c>
      <c r="AY16" s="185">
        <v>220.59</v>
      </c>
      <c r="AZ16" s="185">
        <f>12.924+6.44</f>
        <v>19.364000000000001</v>
      </c>
      <c r="BA16" s="185">
        <f>32.06+17.142</f>
        <v>49.201999999999998</v>
      </c>
      <c r="BB16" s="186">
        <f t="shared" si="0"/>
        <v>355.20499999999998</v>
      </c>
      <c r="BC16" s="186">
        <f t="shared" si="1"/>
        <v>2073.9439999999995</v>
      </c>
    </row>
    <row r="17" spans="1:55" ht="15.75" customHeight="1" x14ac:dyDescent="0.25">
      <c r="A17" s="184" t="s">
        <v>24</v>
      </c>
      <c r="B17" s="185"/>
      <c r="C17" s="185"/>
      <c r="D17" s="185">
        <v>7.7969999999999997</v>
      </c>
      <c r="E17" s="185">
        <v>33.74</v>
      </c>
      <c r="F17" s="185"/>
      <c r="G17" s="185"/>
      <c r="H17" s="185">
        <v>0.73</v>
      </c>
      <c r="I17" s="185">
        <v>1.79</v>
      </c>
      <c r="J17" s="185">
        <v>0.54</v>
      </c>
      <c r="K17" s="185">
        <v>1.29</v>
      </c>
      <c r="L17" s="185">
        <v>1.1299999999999999</v>
      </c>
      <c r="M17" s="185">
        <v>1.25</v>
      </c>
      <c r="N17" s="185"/>
      <c r="O17" s="185"/>
      <c r="P17" s="185"/>
      <c r="Q17" s="185"/>
      <c r="R17" s="185">
        <v>8.67</v>
      </c>
      <c r="S17" s="185">
        <v>95.39</v>
      </c>
      <c r="T17" s="185">
        <v>2.12</v>
      </c>
      <c r="U17" s="185">
        <v>20.149999999999999</v>
      </c>
      <c r="V17" s="185"/>
      <c r="W17" s="185"/>
      <c r="X17" s="185">
        <v>5.274</v>
      </c>
      <c r="Y17" s="185">
        <v>58.235999999999997</v>
      </c>
      <c r="Z17" s="185">
        <v>51.328000000000003</v>
      </c>
      <c r="AA17" s="185">
        <v>517.91999999999996</v>
      </c>
      <c r="AB17" s="185">
        <v>0.51200000000000001</v>
      </c>
      <c r="AC17" s="185">
        <v>5.13</v>
      </c>
      <c r="AD17" s="185"/>
      <c r="AE17" s="185"/>
      <c r="AF17" s="186">
        <f>' Citrus 2013-14(Final)'!J17</f>
        <v>9.2800000000000011</v>
      </c>
      <c r="AG17" s="186">
        <f>' Citrus 2013-14(Final)'!K17</f>
        <v>87.668999999999997</v>
      </c>
      <c r="AH17" s="185"/>
      <c r="AI17" s="185"/>
      <c r="AJ17" s="185">
        <v>0.4</v>
      </c>
      <c r="AK17" s="185">
        <v>0</v>
      </c>
      <c r="AL17" s="185"/>
      <c r="AM17" s="185"/>
      <c r="AN17" s="185"/>
      <c r="AO17" s="185"/>
      <c r="AP17" s="185"/>
      <c r="AQ17" s="185"/>
      <c r="AR17" s="185">
        <v>0.52</v>
      </c>
      <c r="AS17" s="185">
        <v>2.21</v>
      </c>
      <c r="AT17" s="185"/>
      <c r="AU17" s="185"/>
      <c r="AV17" s="185"/>
      <c r="AW17" s="185"/>
      <c r="AX17" s="185"/>
      <c r="AY17" s="185"/>
      <c r="AZ17" s="185">
        <v>5.7290000000000001</v>
      </c>
      <c r="BA17" s="185">
        <v>65.260000000000005</v>
      </c>
      <c r="BB17" s="186">
        <f t="shared" si="0"/>
        <v>94.03</v>
      </c>
      <c r="BC17" s="186">
        <f t="shared" si="1"/>
        <v>890.03499999999997</v>
      </c>
    </row>
    <row r="18" spans="1:55" ht="15.75" customHeight="1" x14ac:dyDescent="0.25">
      <c r="A18" s="184" t="s">
        <v>25</v>
      </c>
      <c r="B18" s="185"/>
      <c r="C18" s="185"/>
      <c r="D18" s="185">
        <v>0.16</v>
      </c>
      <c r="E18" s="185">
        <v>0.86</v>
      </c>
      <c r="F18" s="185"/>
      <c r="G18" s="185"/>
      <c r="H18" s="185"/>
      <c r="I18" s="185"/>
      <c r="J18" s="185">
        <v>102.71</v>
      </c>
      <c r="K18" s="185">
        <v>2675.63</v>
      </c>
      <c r="L18" s="185">
        <v>0.66</v>
      </c>
      <c r="M18" s="185">
        <v>19.010000000000002</v>
      </c>
      <c r="N18" s="185">
        <v>1.45</v>
      </c>
      <c r="O18" s="185">
        <v>12.17</v>
      </c>
      <c r="P18" s="185">
        <v>20.46</v>
      </c>
      <c r="Q18" s="185">
        <v>302.39</v>
      </c>
      <c r="R18" s="185">
        <v>6.43</v>
      </c>
      <c r="S18" s="185">
        <v>143.38999999999999</v>
      </c>
      <c r="T18" s="185">
        <v>5.5</v>
      </c>
      <c r="U18" s="185">
        <v>195.56</v>
      </c>
      <c r="V18" s="185"/>
      <c r="W18" s="185"/>
      <c r="X18" s="185"/>
      <c r="Y18" s="185"/>
      <c r="Z18" s="185">
        <v>180.53</v>
      </c>
      <c r="AA18" s="185">
        <v>1755.56</v>
      </c>
      <c r="AB18" s="185">
        <v>6.75</v>
      </c>
      <c r="AC18" s="185">
        <v>475.71</v>
      </c>
      <c r="AD18" s="185"/>
      <c r="AE18" s="185"/>
      <c r="AF18" s="186">
        <f>' Citrus 2013-14(Final)'!J18</f>
        <v>17.29</v>
      </c>
      <c r="AG18" s="186">
        <f>' Citrus 2013-14(Final)'!K18</f>
        <v>379.25</v>
      </c>
      <c r="AH18" s="185"/>
      <c r="AI18" s="185"/>
      <c r="AJ18" s="185"/>
      <c r="AK18" s="185"/>
      <c r="AL18" s="185"/>
      <c r="AM18" s="185"/>
      <c r="AN18" s="185">
        <v>2.72</v>
      </c>
      <c r="AO18" s="185">
        <v>160.31</v>
      </c>
      <c r="AP18" s="185"/>
      <c r="AQ18" s="185"/>
      <c r="AR18" s="185">
        <v>16.62</v>
      </c>
      <c r="AS18" s="185">
        <v>134.18</v>
      </c>
      <c r="AT18" s="185">
        <v>31.17</v>
      </c>
      <c r="AU18" s="185">
        <v>365.65</v>
      </c>
      <c r="AV18" s="185"/>
      <c r="AW18" s="185"/>
      <c r="AX18" s="185"/>
      <c r="AY18" s="185"/>
      <c r="AZ18" s="185">
        <v>3.55</v>
      </c>
      <c r="BA18" s="185">
        <v>32.75</v>
      </c>
      <c r="BB18" s="186">
        <f t="shared" si="0"/>
        <v>396.00000000000006</v>
      </c>
      <c r="BC18" s="186">
        <f t="shared" si="1"/>
        <v>6652.42</v>
      </c>
    </row>
    <row r="19" spans="1:55" ht="15.75" customHeight="1" x14ac:dyDescent="0.25">
      <c r="A19" s="184" t="s">
        <v>26</v>
      </c>
      <c r="B19" s="185"/>
      <c r="C19" s="185"/>
      <c r="D19" s="185"/>
      <c r="E19" s="185"/>
      <c r="F19" s="185"/>
      <c r="G19" s="185"/>
      <c r="H19" s="185"/>
      <c r="I19" s="185"/>
      <c r="J19" s="185">
        <v>34.46</v>
      </c>
      <c r="K19" s="185">
        <v>528.20500000000004</v>
      </c>
      <c r="L19" s="185"/>
      <c r="M19" s="185"/>
      <c r="N19" s="185"/>
      <c r="O19" s="185"/>
      <c r="P19" s="185"/>
      <c r="Q19" s="185"/>
      <c r="R19" s="185"/>
      <c r="S19" s="185"/>
      <c r="T19" s="185">
        <v>89.701999999999998</v>
      </c>
      <c r="U19" s="185">
        <v>300</v>
      </c>
      <c r="V19" s="185"/>
      <c r="W19" s="185"/>
      <c r="X19" s="185"/>
      <c r="Y19" s="185"/>
      <c r="Z19" s="185">
        <v>74.441999999999993</v>
      </c>
      <c r="AA19" s="185">
        <v>441.03300000000002</v>
      </c>
      <c r="AB19" s="185">
        <v>15.702999999999999</v>
      </c>
      <c r="AC19" s="185">
        <v>89.908000000000001</v>
      </c>
      <c r="AD19" s="185"/>
      <c r="AE19" s="185"/>
      <c r="AF19" s="186">
        <f>'[1] Citrus 2013-14(Final)'!J19</f>
        <v>0</v>
      </c>
      <c r="AG19" s="186">
        <f>'[1] Citrus 2013-14(Final)'!K19</f>
        <v>0</v>
      </c>
      <c r="AH19" s="185"/>
      <c r="AI19" s="185"/>
      <c r="AJ19" s="185"/>
      <c r="AK19" s="185"/>
      <c r="AL19" s="185"/>
      <c r="AM19" s="185"/>
      <c r="AN19" s="185">
        <v>8.5399999999999991</v>
      </c>
      <c r="AO19" s="185">
        <v>72.856999999999999</v>
      </c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>
        <v>154.1</v>
      </c>
      <c r="BA19" s="185">
        <v>1457.5</v>
      </c>
      <c r="BB19" s="186">
        <f t="shared" si="0"/>
        <v>376.947</v>
      </c>
      <c r="BC19" s="186">
        <f t="shared" si="1"/>
        <v>2889.5029999999997</v>
      </c>
    </row>
    <row r="20" spans="1:55" ht="15.75" customHeight="1" x14ac:dyDescent="0.25">
      <c r="A20" s="184" t="s">
        <v>56</v>
      </c>
      <c r="B20" s="185"/>
      <c r="C20" s="185"/>
      <c r="D20" s="185"/>
      <c r="E20" s="185"/>
      <c r="F20" s="185"/>
      <c r="G20" s="185"/>
      <c r="H20" s="185"/>
      <c r="I20" s="185"/>
      <c r="J20" s="185">
        <v>0.13</v>
      </c>
      <c r="K20" s="185">
        <v>0.3</v>
      </c>
      <c r="L20" s="185"/>
      <c r="M20" s="185"/>
      <c r="N20" s="185"/>
      <c r="O20" s="185"/>
      <c r="P20" s="185"/>
      <c r="Q20" s="185"/>
      <c r="R20" s="185">
        <v>1.2E-2</v>
      </c>
      <c r="S20" s="185">
        <v>2.3900000000000001E-2</v>
      </c>
      <c r="T20" s="185"/>
      <c r="U20" s="185"/>
      <c r="V20" s="185"/>
      <c r="W20" s="185"/>
      <c r="X20" s="185"/>
      <c r="Y20" s="185"/>
      <c r="Z20" s="185"/>
      <c r="AA20" s="185"/>
      <c r="AB20" s="185">
        <v>2.5000000000000001E-2</v>
      </c>
      <c r="AC20" s="185">
        <v>0.06</v>
      </c>
      <c r="AD20" s="185"/>
      <c r="AE20" s="185"/>
      <c r="AF20" s="186">
        <f>' Citrus 2013-14(Final)'!J20</f>
        <v>0</v>
      </c>
      <c r="AG20" s="186">
        <f>' Citrus 2013-14(Final)'!K20</f>
        <v>0</v>
      </c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>
        <v>5.0000000000000001E-3</v>
      </c>
      <c r="AS20" s="185">
        <v>4.5500000000000002E-3</v>
      </c>
      <c r="AT20" s="185">
        <v>0.01</v>
      </c>
      <c r="AU20" s="185">
        <v>0.03</v>
      </c>
      <c r="AV20" s="185"/>
      <c r="AW20" s="185"/>
      <c r="AX20" s="185"/>
      <c r="AY20" s="185"/>
      <c r="AZ20" s="185">
        <v>0.04</v>
      </c>
      <c r="BA20" s="185">
        <v>6.5000000000000002E-2</v>
      </c>
      <c r="BB20" s="186">
        <f t="shared" si="0"/>
        <v>0.22200000000000003</v>
      </c>
      <c r="BC20" s="186">
        <f t="shared" si="1"/>
        <v>0.48344999999999999</v>
      </c>
    </row>
    <row r="21" spans="1:55" ht="15.75" customHeight="1" x14ac:dyDescent="0.25">
      <c r="A21" s="184" t="s">
        <v>27</v>
      </c>
      <c r="B21" s="185"/>
      <c r="C21" s="185"/>
      <c r="D21" s="185">
        <v>13.7</v>
      </c>
      <c r="E21" s="185">
        <v>367.38299999999998</v>
      </c>
      <c r="F21" s="185"/>
      <c r="G21" s="185"/>
      <c r="H21" s="185"/>
      <c r="I21" s="185"/>
      <c r="J21" s="185">
        <v>26.271999999999998</v>
      </c>
      <c r="K21" s="185">
        <v>1735.0029999999999</v>
      </c>
      <c r="L21" s="185">
        <v>4.1470000000000002</v>
      </c>
      <c r="M21" s="185">
        <v>44</v>
      </c>
      <c r="N21" s="185">
        <v>2.681</v>
      </c>
      <c r="O21" s="185">
        <v>33.994999999999997</v>
      </c>
      <c r="P21" s="185">
        <v>0.15</v>
      </c>
      <c r="Q21" s="185">
        <v>2</v>
      </c>
      <c r="R21" s="185">
        <v>22.346</v>
      </c>
      <c r="S21" s="185">
        <v>841.10299999999995</v>
      </c>
      <c r="T21" s="185">
        <v>2.7930000000000001</v>
      </c>
      <c r="U21" s="185">
        <v>160.011</v>
      </c>
      <c r="V21" s="185"/>
      <c r="W21" s="185"/>
      <c r="X21" s="185"/>
      <c r="Y21" s="185"/>
      <c r="Z21" s="185">
        <v>25.434000000000001</v>
      </c>
      <c r="AA21" s="185">
        <v>379.73</v>
      </c>
      <c r="AB21" s="185">
        <v>13.162000000000001</v>
      </c>
      <c r="AC21" s="185">
        <v>433.68799999999999</v>
      </c>
      <c r="AD21" s="185"/>
      <c r="AE21" s="185"/>
      <c r="AF21" s="186">
        <f>' Citrus 2013-14(Final)'!J21</f>
        <v>71.807000000000002</v>
      </c>
      <c r="AG21" s="186">
        <f>' Citrus 2013-14(Final)'!K21</f>
        <v>1240.7849999999999</v>
      </c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>
        <v>2.3769999999999998</v>
      </c>
      <c r="AS21" s="185">
        <v>25.291</v>
      </c>
      <c r="AT21" s="185"/>
      <c r="AU21" s="185"/>
      <c r="AV21" s="185"/>
      <c r="AW21" s="185"/>
      <c r="AX21" s="185"/>
      <c r="AY21" s="185"/>
      <c r="AZ21" s="185">
        <v>18.917000000000002</v>
      </c>
      <c r="BA21" s="185">
        <v>433.01</v>
      </c>
      <c r="BB21" s="186">
        <f t="shared" si="0"/>
        <v>203.78600000000003</v>
      </c>
      <c r="BC21" s="186">
        <f t="shared" si="1"/>
        <v>5695.9990000000007</v>
      </c>
    </row>
    <row r="22" spans="1:55" ht="15.75" customHeight="1" x14ac:dyDescent="0.25">
      <c r="A22" s="184" t="s">
        <v>28</v>
      </c>
      <c r="B22" s="185"/>
      <c r="C22" s="185"/>
      <c r="D22" s="185"/>
      <c r="E22" s="185"/>
      <c r="F22" s="185"/>
      <c r="G22" s="185"/>
      <c r="H22" s="185"/>
      <c r="I22" s="185"/>
      <c r="J22" s="185">
        <v>83</v>
      </c>
      <c r="K22" s="185">
        <v>4830.6000000000004</v>
      </c>
      <c r="L22" s="185"/>
      <c r="M22" s="185"/>
      <c r="N22" s="185"/>
      <c r="O22" s="185"/>
      <c r="P22" s="185">
        <v>90</v>
      </c>
      <c r="Q22" s="185">
        <v>2160</v>
      </c>
      <c r="R22" s="185">
        <v>40</v>
      </c>
      <c r="S22" s="185">
        <v>324</v>
      </c>
      <c r="T22" s="185"/>
      <c r="U22" s="185"/>
      <c r="V22" s="185"/>
      <c r="W22" s="185"/>
      <c r="X22" s="185"/>
      <c r="Y22" s="185"/>
      <c r="Z22" s="185">
        <v>485</v>
      </c>
      <c r="AA22" s="185">
        <v>1212.5</v>
      </c>
      <c r="AB22" s="185">
        <v>11</v>
      </c>
      <c r="AC22" s="185">
        <v>500.5</v>
      </c>
      <c r="AD22" s="185"/>
      <c r="AE22" s="185"/>
      <c r="AF22" s="186">
        <f>' Citrus 2013-14(Final)'!J22</f>
        <v>275</v>
      </c>
      <c r="AG22" s="186">
        <f>' Citrus 2013-14(Final)'!K22</f>
        <v>1761</v>
      </c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>
        <v>90</v>
      </c>
      <c r="AS22" s="185">
        <v>945</v>
      </c>
      <c r="AT22" s="185">
        <v>73</v>
      </c>
      <c r="AU22" s="185">
        <v>474.5</v>
      </c>
      <c r="AV22" s="185"/>
      <c r="AW22" s="185"/>
      <c r="AX22" s="185"/>
      <c r="AY22" s="185"/>
      <c r="AZ22" s="185">
        <v>418</v>
      </c>
      <c r="BA22" s="185">
        <v>1249.82</v>
      </c>
      <c r="BB22" s="186">
        <f t="shared" si="0"/>
        <v>1565</v>
      </c>
      <c r="BC22" s="186">
        <f t="shared" si="1"/>
        <v>13457.92</v>
      </c>
    </row>
    <row r="23" spans="1:55" ht="15.75" customHeight="1" x14ac:dyDescent="0.25">
      <c r="A23" s="188" t="s">
        <v>29</v>
      </c>
      <c r="B23" s="185"/>
      <c r="C23" s="185"/>
      <c r="D23" s="185"/>
      <c r="E23" s="185"/>
      <c r="F23" s="185"/>
      <c r="G23" s="185"/>
      <c r="H23" s="185"/>
      <c r="I23" s="185"/>
      <c r="J23" s="185">
        <v>6.7</v>
      </c>
      <c r="K23" s="185">
        <v>90.45</v>
      </c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>
        <v>9.15</v>
      </c>
      <c r="AE23" s="185">
        <v>100.58</v>
      </c>
      <c r="AF23" s="186">
        <f>' Citrus 2013-14(Final)'!J23</f>
        <v>11</v>
      </c>
      <c r="AG23" s="186">
        <f>' Citrus 2013-14(Final)'!K23</f>
        <v>93.85</v>
      </c>
      <c r="AH23" s="185"/>
      <c r="AI23" s="185"/>
      <c r="AJ23" s="185"/>
      <c r="AK23" s="185"/>
      <c r="AL23" s="185"/>
      <c r="AM23" s="185"/>
      <c r="AN23" s="185">
        <v>13.7</v>
      </c>
      <c r="AO23" s="185">
        <v>136.31</v>
      </c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>
        <v>13.5</v>
      </c>
      <c r="BA23" s="185">
        <v>94.5</v>
      </c>
      <c r="BB23" s="186">
        <f t="shared" si="0"/>
        <v>54.05</v>
      </c>
      <c r="BC23" s="186">
        <f t="shared" si="1"/>
        <v>515.69000000000005</v>
      </c>
    </row>
    <row r="24" spans="1:55" ht="15.75" customHeight="1" x14ac:dyDescent="0.25">
      <c r="A24" s="184" t="s">
        <v>30</v>
      </c>
      <c r="B24" s="185"/>
      <c r="C24" s="185"/>
      <c r="D24" s="185"/>
      <c r="E24" s="185"/>
      <c r="F24" s="185"/>
      <c r="G24" s="185"/>
      <c r="H24" s="185"/>
      <c r="I24" s="185"/>
      <c r="J24" s="185">
        <v>7.0389999999999997</v>
      </c>
      <c r="K24" s="185">
        <v>86.432000000000002</v>
      </c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>
        <v>0.76300000000000001</v>
      </c>
      <c r="AC24" s="185">
        <v>5.9809999999999999</v>
      </c>
      <c r="AD24" s="185"/>
      <c r="AE24" s="185"/>
      <c r="AF24" s="186">
        <f>' Citrus 2013-14(Final)'!J24</f>
        <v>11.468</v>
      </c>
      <c r="AG24" s="186">
        <f>' Citrus 2013-14(Final)'!K24</f>
        <v>49.600000000000009</v>
      </c>
      <c r="AH24" s="185"/>
      <c r="AI24" s="185"/>
      <c r="AJ24" s="185"/>
      <c r="AK24" s="185"/>
      <c r="AL24" s="185"/>
      <c r="AM24" s="185"/>
      <c r="AN24" s="185">
        <v>11.314</v>
      </c>
      <c r="AO24" s="185">
        <v>117.767</v>
      </c>
      <c r="AP24" s="185"/>
      <c r="AQ24" s="185"/>
      <c r="AR24" s="185"/>
      <c r="AS24" s="185"/>
      <c r="AT24" s="185"/>
      <c r="AU24" s="185"/>
      <c r="AV24" s="185">
        <v>0.10299999999999999</v>
      </c>
      <c r="AW24" s="185">
        <v>0.74</v>
      </c>
      <c r="AX24" s="185"/>
      <c r="AY24" s="185"/>
      <c r="AZ24" s="189">
        <f>1.157+3.459</f>
        <v>4.6159999999999997</v>
      </c>
      <c r="BA24" s="185">
        <f>78.132+9.346</f>
        <v>87.478000000000009</v>
      </c>
      <c r="BB24" s="186">
        <f t="shared" si="0"/>
        <v>35.302999999999997</v>
      </c>
      <c r="BC24" s="186">
        <f t="shared" si="1"/>
        <v>347.99799999999999</v>
      </c>
    </row>
    <row r="25" spans="1:55" ht="15.75" customHeight="1" x14ac:dyDescent="0.25">
      <c r="A25" s="184" t="s">
        <v>31</v>
      </c>
      <c r="B25" s="185"/>
      <c r="C25" s="185"/>
      <c r="D25" s="185">
        <v>0.27500000000000002</v>
      </c>
      <c r="E25" s="185">
        <v>1.21</v>
      </c>
      <c r="F25" s="185"/>
      <c r="G25" s="185"/>
      <c r="H25" s="185"/>
      <c r="I25" s="185"/>
      <c r="J25" s="185">
        <v>10.84</v>
      </c>
      <c r="K25" s="185">
        <v>140.91999999999999</v>
      </c>
      <c r="L25" s="185"/>
      <c r="M25" s="185"/>
      <c r="N25" s="185">
        <v>3.0000000000000001E-3</v>
      </c>
      <c r="O25" s="185">
        <v>0.01</v>
      </c>
      <c r="P25" s="185">
        <v>2.4500000000000002</v>
      </c>
      <c r="Q25" s="185">
        <v>23.87</v>
      </c>
      <c r="R25" s="185">
        <v>0.41</v>
      </c>
      <c r="S25" s="185">
        <v>2.5</v>
      </c>
      <c r="T25" s="185">
        <v>0.05</v>
      </c>
      <c r="U25" s="185">
        <v>2.5</v>
      </c>
      <c r="V25" s="185">
        <v>0.25</v>
      </c>
      <c r="W25" s="185">
        <v>0.875</v>
      </c>
      <c r="X25" s="185">
        <v>0.4</v>
      </c>
      <c r="Y25" s="185">
        <v>1.73</v>
      </c>
      <c r="Z25" s="185">
        <v>0.78</v>
      </c>
      <c r="AA25" s="185">
        <v>3.68</v>
      </c>
      <c r="AB25" s="185">
        <v>1.05</v>
      </c>
      <c r="AC25" s="185">
        <v>24.6</v>
      </c>
      <c r="AD25" s="185">
        <v>0.83799999999999997</v>
      </c>
      <c r="AE25" s="185">
        <v>1.94</v>
      </c>
      <c r="AF25" s="186">
        <f>' Citrus 2013-14(Final)'!J25</f>
        <v>25.148</v>
      </c>
      <c r="AG25" s="186">
        <f>' Citrus 2013-14(Final)'!K25</f>
        <v>77.694000000000003</v>
      </c>
      <c r="AH25" s="185">
        <v>7.4999999999999997E-2</v>
      </c>
      <c r="AI25" s="185">
        <v>0.57699999999999996</v>
      </c>
      <c r="AJ25" s="185">
        <v>1E-3</v>
      </c>
      <c r="AK25" s="185">
        <v>5.0000000000000001E-3</v>
      </c>
      <c r="AL25" s="185"/>
      <c r="AM25" s="185"/>
      <c r="AN25" s="185">
        <v>4.0910000000000002</v>
      </c>
      <c r="AO25" s="185">
        <v>30.14</v>
      </c>
      <c r="AP25" s="185">
        <v>0.14499999999999999</v>
      </c>
      <c r="AQ25" s="185">
        <v>1.3480000000000001</v>
      </c>
      <c r="AR25" s="185">
        <v>0.01</v>
      </c>
      <c r="AS25" s="185">
        <v>0.02</v>
      </c>
      <c r="AT25" s="185">
        <v>4.0000000000000001E-3</v>
      </c>
      <c r="AU25" s="185">
        <v>0.02</v>
      </c>
      <c r="AV25" s="185">
        <v>1E-3</v>
      </c>
      <c r="AW25" s="185">
        <v>0.02</v>
      </c>
      <c r="AX25" s="185"/>
      <c r="AY25" s="185"/>
      <c r="AZ25" s="185">
        <f>10.4+0.01+0.32</f>
        <v>10.73</v>
      </c>
      <c r="BA25" s="185">
        <f>5.25+0.026+24.96</f>
        <v>30.236000000000001</v>
      </c>
      <c r="BB25" s="186">
        <f t="shared" si="0"/>
        <v>57.551000000000002</v>
      </c>
      <c r="BC25" s="186">
        <f t="shared" si="1"/>
        <v>343.89499999999992</v>
      </c>
    </row>
    <row r="26" spans="1:55" ht="15.75" customHeight="1" x14ac:dyDescent="0.25">
      <c r="A26" s="187" t="s">
        <v>32</v>
      </c>
      <c r="B26" s="185"/>
      <c r="C26" s="185"/>
      <c r="D26" s="185">
        <v>0.26500000000000001</v>
      </c>
      <c r="E26" s="185">
        <v>2.91</v>
      </c>
      <c r="F26" s="185">
        <v>0.21</v>
      </c>
      <c r="G26" s="185">
        <v>1.89</v>
      </c>
      <c r="H26" s="185"/>
      <c r="I26" s="185"/>
      <c r="J26" s="185">
        <v>7.32</v>
      </c>
      <c r="K26" s="185">
        <v>109.8</v>
      </c>
      <c r="L26" s="185">
        <v>3.2000000000000001E-2</v>
      </c>
      <c r="M26" s="185">
        <v>0.245</v>
      </c>
      <c r="N26" s="185"/>
      <c r="O26" s="185"/>
      <c r="P26" s="185">
        <v>0.19</v>
      </c>
      <c r="Q26" s="185">
        <v>1.1399999999999999</v>
      </c>
      <c r="R26" s="185">
        <v>0.52</v>
      </c>
      <c r="S26" s="185">
        <v>4.16</v>
      </c>
      <c r="T26" s="185">
        <v>0.16</v>
      </c>
      <c r="U26" s="185">
        <v>1.92</v>
      </c>
      <c r="V26" s="185">
        <v>0.2</v>
      </c>
      <c r="W26" s="185">
        <v>2.4</v>
      </c>
      <c r="X26" s="185">
        <v>0.46</v>
      </c>
      <c r="Y26" s="185">
        <v>3.22</v>
      </c>
      <c r="Z26" s="185">
        <v>0.51</v>
      </c>
      <c r="AA26" s="185">
        <v>3.57</v>
      </c>
      <c r="AB26" s="185">
        <v>1.36</v>
      </c>
      <c r="AC26" s="185">
        <v>16.32</v>
      </c>
      <c r="AD26" s="185">
        <v>8.5</v>
      </c>
      <c r="AE26" s="185">
        <v>21.25</v>
      </c>
      <c r="AF26" s="186">
        <f>' Citrus 2013-14(Final)'!J26</f>
        <v>8.5499999999999989</v>
      </c>
      <c r="AG26" s="186">
        <f>' Citrus 2013-14(Final)'!K26</f>
        <v>74.400000000000006</v>
      </c>
      <c r="AH26" s="185">
        <v>0.34</v>
      </c>
      <c r="AI26" s="185">
        <v>2.72</v>
      </c>
      <c r="AJ26" s="185">
        <v>0.31</v>
      </c>
      <c r="AK26" s="185">
        <v>3.1</v>
      </c>
      <c r="AL26" s="185"/>
      <c r="AM26" s="185"/>
      <c r="AN26" s="185">
        <v>9.5</v>
      </c>
      <c r="AO26" s="185">
        <v>142.5</v>
      </c>
      <c r="AP26" s="185">
        <v>0.46</v>
      </c>
      <c r="AQ26" s="185">
        <v>3.22</v>
      </c>
      <c r="AR26" s="185">
        <v>0.12</v>
      </c>
      <c r="AS26" s="185">
        <v>0.73</v>
      </c>
      <c r="AT26" s="185"/>
      <c r="AU26" s="185"/>
      <c r="AV26" s="185"/>
      <c r="AW26" s="185"/>
      <c r="AX26" s="185"/>
      <c r="AY26" s="185"/>
      <c r="AZ26" s="185">
        <f>1.55</f>
        <v>1.55</v>
      </c>
      <c r="BA26" s="185">
        <f>15.5</f>
        <v>15.5</v>
      </c>
      <c r="BB26" s="186">
        <f t="shared" si="0"/>
        <v>40.556999999999988</v>
      </c>
      <c r="BC26" s="186">
        <f t="shared" si="1"/>
        <v>410.995</v>
      </c>
    </row>
    <row r="27" spans="1:55" ht="15.75" customHeight="1" x14ac:dyDescent="0.25">
      <c r="A27" s="184" t="s">
        <v>189</v>
      </c>
      <c r="B27" s="185"/>
      <c r="C27" s="185"/>
      <c r="D27" s="185">
        <v>2.02</v>
      </c>
      <c r="E27" s="185">
        <v>0.71</v>
      </c>
      <c r="F27" s="185"/>
      <c r="G27" s="185"/>
      <c r="H27" s="185"/>
      <c r="I27" s="185"/>
      <c r="J27" s="185">
        <v>25.06</v>
      </c>
      <c r="K27" s="185">
        <v>476.6</v>
      </c>
      <c r="L27" s="185"/>
      <c r="M27" s="185"/>
      <c r="N27" s="185"/>
      <c r="O27" s="185"/>
      <c r="P27" s="185"/>
      <c r="Q27" s="185"/>
      <c r="R27" s="185">
        <v>14.2</v>
      </c>
      <c r="S27" s="185">
        <v>103.6</v>
      </c>
      <c r="T27" s="185"/>
      <c r="U27" s="185"/>
      <c r="V27" s="185"/>
      <c r="W27" s="185"/>
      <c r="X27" s="185">
        <v>4.47</v>
      </c>
      <c r="Y27" s="185">
        <v>20.32</v>
      </c>
      <c r="Z27" s="185">
        <v>197.52</v>
      </c>
      <c r="AA27" s="185">
        <v>751.02</v>
      </c>
      <c r="AB27" s="185">
        <v>3.28</v>
      </c>
      <c r="AC27" s="185">
        <v>72.180000000000007</v>
      </c>
      <c r="AD27" s="185"/>
      <c r="AE27" s="185"/>
      <c r="AF27" s="186">
        <f>' Citrus 2013-14(Final)'!J27</f>
        <v>27.52</v>
      </c>
      <c r="AG27" s="186">
        <f>' Citrus 2013-14(Final)'!K27</f>
        <v>268.01</v>
      </c>
      <c r="AH27" s="185"/>
      <c r="AI27" s="185"/>
      <c r="AJ27" s="185"/>
      <c r="AK27" s="185"/>
      <c r="AL27" s="185"/>
      <c r="AM27" s="185"/>
      <c r="AN27" s="185">
        <v>0.84</v>
      </c>
      <c r="AO27" s="185">
        <v>10.38</v>
      </c>
      <c r="AP27" s="185"/>
      <c r="AQ27" s="185"/>
      <c r="AR27" s="185">
        <v>0.23</v>
      </c>
      <c r="AS27" s="185">
        <v>0.87</v>
      </c>
      <c r="AT27" s="185">
        <v>3.35</v>
      </c>
      <c r="AU27" s="185">
        <v>15.64</v>
      </c>
      <c r="AV27" s="185"/>
      <c r="AW27" s="185"/>
      <c r="AX27" s="185"/>
      <c r="AY27" s="185"/>
      <c r="AZ27" s="185">
        <v>47.37</v>
      </c>
      <c r="BA27" s="185">
        <v>428.94</v>
      </c>
      <c r="BB27" s="186">
        <f t="shared" si="0"/>
        <v>325.86</v>
      </c>
      <c r="BC27" s="186">
        <f t="shared" si="1"/>
        <v>2148.27</v>
      </c>
    </row>
    <row r="28" spans="1:55" ht="15.75" customHeight="1" x14ac:dyDescent="0.25">
      <c r="A28" s="187" t="s">
        <v>167</v>
      </c>
      <c r="B28" s="185"/>
      <c r="C28" s="185"/>
      <c r="D28" s="185">
        <v>1.9E-2</v>
      </c>
      <c r="E28" s="185">
        <v>9.5000000000000001E-2</v>
      </c>
      <c r="F28" s="185"/>
      <c r="G28" s="185"/>
      <c r="H28" s="185"/>
      <c r="I28" s="185"/>
      <c r="J28" s="185">
        <v>0.26</v>
      </c>
      <c r="K28" s="185">
        <v>8.782</v>
      </c>
      <c r="L28" s="185"/>
      <c r="M28" s="185"/>
      <c r="N28" s="185"/>
      <c r="O28" s="185"/>
      <c r="P28" s="185"/>
      <c r="Q28" s="185"/>
      <c r="R28" s="185">
        <v>7.0999999999999994E-2</v>
      </c>
      <c r="S28" s="185">
        <v>0.55500000000000005</v>
      </c>
      <c r="T28" s="185">
        <v>6.0000000000000001E-3</v>
      </c>
      <c r="U28" s="185">
        <v>6.6000000000000003E-2</v>
      </c>
      <c r="V28" s="185"/>
      <c r="W28" s="185"/>
      <c r="X28" s="185"/>
      <c r="Y28" s="185"/>
      <c r="Z28" s="185">
        <v>0.20200000000000001</v>
      </c>
      <c r="AA28" s="185">
        <v>2.5659999999999998</v>
      </c>
      <c r="AB28" s="185"/>
      <c r="AC28" s="185"/>
      <c r="AD28" s="185"/>
      <c r="AE28" s="185"/>
      <c r="AF28" s="186">
        <f>' Citrus 2013-14(Final)'!J28</f>
        <v>1.2999999999999999E-2</v>
      </c>
      <c r="AG28" s="186">
        <f>' Citrus 2013-14(Final)'!K28</f>
        <v>0.104</v>
      </c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>
        <v>4.4999999999999998E-2</v>
      </c>
      <c r="AU28" s="185">
        <v>0.26100000000000001</v>
      </c>
      <c r="AV28" s="185"/>
      <c r="AW28" s="185"/>
      <c r="AX28" s="185"/>
      <c r="AY28" s="185"/>
      <c r="AZ28" s="185">
        <v>2.5000000000000001E-2</v>
      </c>
      <c r="BA28" s="185">
        <v>0.15</v>
      </c>
      <c r="BB28" s="186">
        <f t="shared" si="0"/>
        <v>0.64100000000000013</v>
      </c>
      <c r="BC28" s="186">
        <f t="shared" si="1"/>
        <v>12.578999999999999</v>
      </c>
    </row>
    <row r="29" spans="1:55" ht="15.75" customHeight="1" x14ac:dyDescent="0.25">
      <c r="A29" s="184" t="s">
        <v>33</v>
      </c>
      <c r="B29" s="185"/>
      <c r="C29" s="185"/>
      <c r="D29" s="185">
        <v>0.40899999999999997</v>
      </c>
      <c r="E29" s="185">
        <v>5.5949999999999998</v>
      </c>
      <c r="F29" s="185"/>
      <c r="G29" s="185"/>
      <c r="H29" s="185"/>
      <c r="I29" s="185"/>
      <c r="J29" s="185">
        <v>0.16300000000000001</v>
      </c>
      <c r="K29" s="185">
        <v>9.3170000000000002</v>
      </c>
      <c r="L29" s="185">
        <v>1.802</v>
      </c>
      <c r="M29" s="185">
        <v>29.966999999999999</v>
      </c>
      <c r="N29" s="185"/>
      <c r="O29" s="185"/>
      <c r="P29" s="185">
        <v>0.42</v>
      </c>
      <c r="Q29" s="185">
        <v>12.015000000000001</v>
      </c>
      <c r="R29" s="185">
        <v>8.2050000000000001</v>
      </c>
      <c r="S29" s="185">
        <v>180.77500000000001</v>
      </c>
      <c r="T29" s="185"/>
      <c r="U29" s="185"/>
      <c r="V29" s="185"/>
      <c r="W29" s="185"/>
      <c r="X29" s="185">
        <v>1.8480000000000001</v>
      </c>
      <c r="Y29" s="185">
        <v>28.003</v>
      </c>
      <c r="Z29" s="185">
        <v>6.7430000000000003</v>
      </c>
      <c r="AA29" s="185">
        <v>107.572</v>
      </c>
      <c r="AB29" s="185"/>
      <c r="AC29" s="185"/>
      <c r="AD29" s="185"/>
      <c r="AE29" s="185"/>
      <c r="AF29" s="186">
        <f>' Citrus 2013-14(Final)'!J29</f>
        <v>50.427999999999997</v>
      </c>
      <c r="AG29" s="186">
        <f>' Citrus 2013-14(Final)'!K29</f>
        <v>1044.202</v>
      </c>
      <c r="AH29" s="185">
        <v>1.716</v>
      </c>
      <c r="AI29" s="185">
        <v>30.34</v>
      </c>
      <c r="AJ29" s="185">
        <v>2.8889999999999998</v>
      </c>
      <c r="AK29" s="185">
        <v>65.438000000000002</v>
      </c>
      <c r="AL29" s="185"/>
      <c r="AM29" s="185"/>
      <c r="AN29" s="185"/>
      <c r="AO29" s="185"/>
      <c r="AP29" s="185">
        <v>0.218</v>
      </c>
      <c r="AQ29" s="185">
        <v>3.8610000000000002</v>
      </c>
      <c r="AR29" s="185"/>
      <c r="AS29" s="185"/>
      <c r="AT29" s="185"/>
      <c r="AU29" s="185"/>
      <c r="AV29" s="185"/>
      <c r="AW29" s="185"/>
      <c r="AX29" s="185"/>
      <c r="AY29" s="185"/>
      <c r="AZ29" s="185">
        <v>1.7509999999999999</v>
      </c>
      <c r="BA29" s="185">
        <v>24.158999999999999</v>
      </c>
      <c r="BB29" s="186">
        <f t="shared" si="0"/>
        <v>76.591999999999999</v>
      </c>
      <c r="BC29" s="186">
        <f t="shared" si="1"/>
        <v>1541.2440000000001</v>
      </c>
    </row>
    <row r="30" spans="1:55" ht="15.75" customHeight="1" x14ac:dyDescent="0.25">
      <c r="A30" s="184" t="s">
        <v>201</v>
      </c>
      <c r="B30" s="185"/>
      <c r="C30" s="185"/>
      <c r="D30" s="185">
        <v>1.7969999999999999</v>
      </c>
      <c r="E30" s="185">
        <v>11.72</v>
      </c>
      <c r="F30" s="185"/>
      <c r="G30" s="185"/>
      <c r="H30" s="185"/>
      <c r="I30" s="185"/>
      <c r="J30" s="185">
        <v>3.5000000000000003E-2</v>
      </c>
      <c r="K30" s="185">
        <v>0.63500000000000001</v>
      </c>
      <c r="L30" s="185">
        <v>0.93100000000000005</v>
      </c>
      <c r="M30" s="185">
        <v>7.87</v>
      </c>
      <c r="N30" s="185">
        <v>0.57599999999999996</v>
      </c>
      <c r="O30" s="185">
        <v>5.65</v>
      </c>
      <c r="P30" s="185">
        <v>1.0999999999999999E-2</v>
      </c>
      <c r="Q30" s="185">
        <v>7.0000000000000007E-2</v>
      </c>
      <c r="R30" s="185">
        <v>2.4700000000000002</v>
      </c>
      <c r="S30" s="185">
        <v>24.62</v>
      </c>
      <c r="T30" s="185"/>
      <c r="U30" s="185"/>
      <c r="V30" s="185"/>
      <c r="W30" s="185"/>
      <c r="X30" s="185"/>
      <c r="Y30" s="185"/>
      <c r="Z30" s="185">
        <v>5.609</v>
      </c>
      <c r="AA30" s="185">
        <v>79.900000000000006</v>
      </c>
      <c r="AB30" s="185">
        <v>0.58699999999999997</v>
      </c>
      <c r="AC30" s="185">
        <v>10.53</v>
      </c>
      <c r="AD30" s="185"/>
      <c r="AE30" s="185"/>
      <c r="AF30" s="186">
        <f>' Citrus 2013-14(Final)'!J30</f>
        <v>24.097999999999999</v>
      </c>
      <c r="AG30" s="186">
        <f>' Citrus 2013-14(Final)'!K30</f>
        <v>433.2</v>
      </c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>
        <v>0.91400000000000003</v>
      </c>
      <c r="AS30" s="185">
        <v>5.63</v>
      </c>
      <c r="AT30" s="185">
        <v>6.0000000000000001E-3</v>
      </c>
      <c r="AU30" s="185">
        <v>3.1E-2</v>
      </c>
      <c r="AV30" s="185"/>
      <c r="AW30" s="185"/>
      <c r="AX30" s="185"/>
      <c r="AY30" s="185"/>
      <c r="AZ30" s="185">
        <v>0.36299999999999999</v>
      </c>
      <c r="BA30" s="185">
        <v>1.92</v>
      </c>
      <c r="BB30" s="186">
        <f t="shared" si="0"/>
        <v>37.396999999999998</v>
      </c>
      <c r="BC30" s="186">
        <f t="shared" si="1"/>
        <v>581.77599999999984</v>
      </c>
    </row>
    <row r="31" spans="1:55" ht="15.75" customHeight="1" x14ac:dyDescent="0.25">
      <c r="A31" s="184" t="s">
        <v>35</v>
      </c>
      <c r="B31" s="185"/>
      <c r="C31" s="185"/>
      <c r="D31" s="185"/>
      <c r="E31" s="185"/>
      <c r="F31" s="185">
        <v>2.4E-2</v>
      </c>
      <c r="G31" s="185">
        <v>2.8000000000000001E-2</v>
      </c>
      <c r="H31" s="185"/>
      <c r="I31" s="185"/>
      <c r="J31" s="185">
        <v>1.6279999999999999</v>
      </c>
      <c r="K31" s="185">
        <v>3.89</v>
      </c>
      <c r="L31" s="185"/>
      <c r="M31" s="185"/>
      <c r="N31" s="185"/>
      <c r="O31" s="185"/>
      <c r="P31" s="185"/>
      <c r="Q31" s="185"/>
      <c r="R31" s="185">
        <v>1.101</v>
      </c>
      <c r="S31" s="185">
        <v>0.105</v>
      </c>
      <c r="T31" s="185"/>
      <c r="U31" s="185"/>
      <c r="V31" s="185">
        <v>9.2999999999999999E-2</v>
      </c>
      <c r="W31" s="185">
        <v>0.78500000000000003</v>
      </c>
      <c r="X31" s="185">
        <v>0.315</v>
      </c>
      <c r="Y31" s="185">
        <v>2.7E-2</v>
      </c>
      <c r="Z31" s="185"/>
      <c r="AA31" s="185"/>
      <c r="AB31" s="185">
        <v>0.69499999999999995</v>
      </c>
      <c r="AC31" s="185">
        <v>0.56599999999999995</v>
      </c>
      <c r="AD31" s="185">
        <v>0.52500000000000002</v>
      </c>
      <c r="AE31" s="185">
        <v>0.16500000000000001</v>
      </c>
      <c r="AF31" s="186">
        <f>' Citrus 2013-14(Final)'!J31</f>
        <v>10.282</v>
      </c>
      <c r="AG31" s="186">
        <f>' Citrus 2013-14(Final)'!K31</f>
        <v>16.855</v>
      </c>
      <c r="AH31" s="185">
        <v>0.18099999999999999</v>
      </c>
      <c r="AI31" s="185">
        <v>0.09</v>
      </c>
      <c r="AJ31" s="185">
        <v>1.18</v>
      </c>
      <c r="AK31" s="185">
        <v>1.538</v>
      </c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9"/>
      <c r="BA31" s="189"/>
      <c r="BB31" s="186">
        <f t="shared" si="0"/>
        <v>16.024000000000001</v>
      </c>
      <c r="BC31" s="186">
        <f t="shared" si="1"/>
        <v>24.048999999999999</v>
      </c>
    </row>
    <row r="32" spans="1:55" ht="15.75" customHeight="1" x14ac:dyDescent="0.25">
      <c r="A32" s="184" t="s">
        <v>36</v>
      </c>
      <c r="B32" s="185"/>
      <c r="C32" s="185"/>
      <c r="D32" s="185">
        <v>9.73</v>
      </c>
      <c r="E32" s="185">
        <v>191.79</v>
      </c>
      <c r="F32" s="185">
        <v>5.0000000000000001E-3</v>
      </c>
      <c r="G32" s="185">
        <v>0.03</v>
      </c>
      <c r="H32" s="185"/>
      <c r="I32" s="185"/>
      <c r="J32" s="190">
        <v>118.04</v>
      </c>
      <c r="K32" s="185">
        <v>5650</v>
      </c>
      <c r="L32" s="185"/>
      <c r="M32" s="185"/>
      <c r="N32" s="185"/>
      <c r="O32" s="185"/>
      <c r="P32" s="185">
        <v>2.84</v>
      </c>
      <c r="Q32" s="185">
        <v>47.72</v>
      </c>
      <c r="R32" s="185">
        <v>8.83</v>
      </c>
      <c r="S32" s="185">
        <v>50.75</v>
      </c>
      <c r="T32" s="185">
        <v>3.28</v>
      </c>
      <c r="U32" s="185">
        <v>17.73</v>
      </c>
      <c r="V32" s="185"/>
      <c r="W32" s="185"/>
      <c r="X32" s="185"/>
      <c r="Y32" s="185"/>
      <c r="Z32" s="185">
        <v>161.58000000000001</v>
      </c>
      <c r="AA32" s="185">
        <v>785.5</v>
      </c>
      <c r="AB32" s="185">
        <v>1.02</v>
      </c>
      <c r="AC32" s="185">
        <v>202.67</v>
      </c>
      <c r="AD32" s="185"/>
      <c r="AE32" s="185"/>
      <c r="AF32" s="186">
        <f>' Citrus 2013-14(Final)'!J32</f>
        <v>11.419999999999998</v>
      </c>
      <c r="AG32" s="186">
        <f>' Citrus 2013-14(Final)'!K32</f>
        <v>39.700000000000003</v>
      </c>
      <c r="AH32" s="185">
        <v>0.11</v>
      </c>
      <c r="AI32" s="185">
        <v>0.71</v>
      </c>
      <c r="AJ32" s="185">
        <v>1.07</v>
      </c>
      <c r="AK32" s="185">
        <v>41.98</v>
      </c>
      <c r="AL32" s="185"/>
      <c r="AM32" s="185"/>
      <c r="AN32" s="185">
        <v>0.69</v>
      </c>
      <c r="AO32" s="185">
        <v>22.9</v>
      </c>
      <c r="AP32" s="185">
        <v>0.48</v>
      </c>
      <c r="AQ32" s="185">
        <v>5.81</v>
      </c>
      <c r="AR32" s="185">
        <v>0.4</v>
      </c>
      <c r="AS32" s="185">
        <v>13.09</v>
      </c>
      <c r="AT32" s="185">
        <v>8.0500000000000007</v>
      </c>
      <c r="AU32" s="185">
        <v>264.39</v>
      </c>
      <c r="AV32" s="185"/>
      <c r="AW32" s="185"/>
      <c r="AX32" s="185"/>
      <c r="AY32" s="185"/>
      <c r="AZ32" s="185">
        <v>1</v>
      </c>
      <c r="BA32" s="185">
        <v>35.090000000000003</v>
      </c>
      <c r="BB32" s="186">
        <f t="shared" si="0"/>
        <v>328.54500000000007</v>
      </c>
      <c r="BC32" s="186">
        <f t="shared" si="1"/>
        <v>7369.86</v>
      </c>
    </row>
    <row r="33" spans="1:55" ht="15.75" customHeight="1" x14ac:dyDescent="0.25">
      <c r="A33" s="184" t="s">
        <v>241</v>
      </c>
      <c r="B33" s="185"/>
      <c r="C33" s="185"/>
      <c r="D33" s="185"/>
      <c r="E33" s="185"/>
      <c r="F33" s="185"/>
      <c r="G33" s="185"/>
      <c r="H33" s="185"/>
      <c r="I33" s="185"/>
      <c r="J33" s="190">
        <v>8.6140000000000008</v>
      </c>
      <c r="K33" s="185">
        <v>301.49</v>
      </c>
      <c r="L33" s="185"/>
      <c r="M33" s="185"/>
      <c r="N33" s="185">
        <v>1.677</v>
      </c>
      <c r="O33" s="185">
        <v>10.061999999999999</v>
      </c>
      <c r="P33" s="185">
        <v>1.228</v>
      </c>
      <c r="Q33" s="185">
        <v>25.788</v>
      </c>
      <c r="R33" s="185">
        <v>6.0019999999999998</v>
      </c>
      <c r="S33" s="185">
        <v>90.03</v>
      </c>
      <c r="T33" s="185"/>
      <c r="U33" s="185"/>
      <c r="V33" s="185"/>
      <c r="W33" s="185"/>
      <c r="X33" s="185"/>
      <c r="Y33" s="185"/>
      <c r="Z33" s="185">
        <v>190.876</v>
      </c>
      <c r="AA33" s="185">
        <v>1717.884</v>
      </c>
      <c r="AB33" s="185">
        <v>2.661</v>
      </c>
      <c r="AC33" s="185">
        <v>212.88</v>
      </c>
      <c r="AD33" s="185"/>
      <c r="AE33" s="185"/>
      <c r="AF33" s="186">
        <f>' Citrus 2013-14(Final)'!J33</f>
        <v>144.79300000000001</v>
      </c>
      <c r="AG33" s="186">
        <f>' Citrus 2013-14(Final)'!K33</f>
        <v>1987.894</v>
      </c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>
        <v>1.7310000000000001</v>
      </c>
      <c r="AS33" s="185">
        <v>25.965</v>
      </c>
      <c r="AT33" s="185">
        <v>1.4870000000000001</v>
      </c>
      <c r="AU33" s="185">
        <v>14.87</v>
      </c>
      <c r="AV33" s="185"/>
      <c r="AW33" s="185"/>
      <c r="AX33" s="185"/>
      <c r="AY33" s="185"/>
      <c r="AZ33" s="185">
        <v>5.4109999999999996</v>
      </c>
      <c r="BA33" s="185">
        <v>54.113</v>
      </c>
      <c r="BB33" s="186">
        <f t="shared" si="0"/>
        <v>364.48</v>
      </c>
      <c r="BC33" s="186">
        <f t="shared" si="1"/>
        <v>4440.9760000000006</v>
      </c>
    </row>
    <row r="34" spans="1:55" ht="15.75" customHeight="1" x14ac:dyDescent="0.25">
      <c r="A34" s="184" t="s">
        <v>37</v>
      </c>
      <c r="B34" s="185"/>
      <c r="C34" s="185"/>
      <c r="D34" s="185"/>
      <c r="E34" s="185"/>
      <c r="F34" s="185"/>
      <c r="G34" s="185"/>
      <c r="H34" s="185"/>
      <c r="I34" s="185"/>
      <c r="J34" s="185">
        <v>13.64</v>
      </c>
      <c r="K34" s="185">
        <v>134.25</v>
      </c>
      <c r="L34" s="185"/>
      <c r="M34" s="185"/>
      <c r="N34" s="185"/>
      <c r="O34" s="185"/>
      <c r="P34" s="185"/>
      <c r="Q34" s="185"/>
      <c r="R34" s="185">
        <v>0.99</v>
      </c>
      <c r="S34" s="185">
        <v>5.2</v>
      </c>
      <c r="T34" s="185">
        <v>10.119999999999999</v>
      </c>
      <c r="U34" s="185">
        <v>302.18</v>
      </c>
      <c r="V34" s="185"/>
      <c r="W34" s="185"/>
      <c r="X34" s="185">
        <v>3.88</v>
      </c>
      <c r="Y34" s="185">
        <v>20.18</v>
      </c>
      <c r="Z34" s="185">
        <v>10.56</v>
      </c>
      <c r="AA34" s="185">
        <v>56.28</v>
      </c>
      <c r="AB34" s="185">
        <v>3.41</v>
      </c>
      <c r="AC34" s="185">
        <v>33.82</v>
      </c>
      <c r="AD34" s="185"/>
      <c r="AE34" s="185"/>
      <c r="AF34" s="186">
        <f>' Citrus 2013-14(Final)'!J34</f>
        <v>12.229999999999999</v>
      </c>
      <c r="AG34" s="186">
        <f>' Citrus 2013-14(Final)'!K34</f>
        <v>57.999999999999993</v>
      </c>
      <c r="AH34" s="185"/>
      <c r="AI34" s="185"/>
      <c r="AJ34" s="185"/>
      <c r="AK34" s="185"/>
      <c r="AL34" s="185"/>
      <c r="AM34" s="185"/>
      <c r="AN34" s="185">
        <v>11.59</v>
      </c>
      <c r="AO34" s="185">
        <v>162.26</v>
      </c>
      <c r="AP34" s="185"/>
      <c r="AQ34" s="185"/>
      <c r="AR34" s="185"/>
      <c r="AS34" s="185"/>
      <c r="AT34" s="185">
        <v>0.2</v>
      </c>
      <c r="AU34" s="185">
        <v>1.62</v>
      </c>
      <c r="AV34" s="185"/>
      <c r="AW34" s="185"/>
      <c r="AX34" s="185"/>
      <c r="AY34" s="185"/>
      <c r="AZ34" s="185">
        <v>1.76</v>
      </c>
      <c r="BA34" s="185">
        <v>12.56</v>
      </c>
      <c r="BB34" s="186">
        <f t="shared" si="0"/>
        <v>68.38</v>
      </c>
      <c r="BC34" s="186">
        <f t="shared" si="1"/>
        <v>786.35</v>
      </c>
    </row>
    <row r="35" spans="1:55" ht="15.75" customHeight="1" x14ac:dyDescent="0.25">
      <c r="A35" s="184" t="s">
        <v>38</v>
      </c>
      <c r="B35" s="185"/>
      <c r="C35" s="185"/>
      <c r="D35" s="185">
        <v>33.003</v>
      </c>
      <c r="E35" s="185">
        <v>359.733</v>
      </c>
      <c r="F35" s="185"/>
      <c r="G35" s="185"/>
      <c r="H35" s="185"/>
      <c r="I35" s="185"/>
      <c r="J35" s="185">
        <v>37.256999999999998</v>
      </c>
      <c r="K35" s="185">
        <v>1599.0219999999999</v>
      </c>
      <c r="L35" s="185"/>
      <c r="M35" s="185"/>
      <c r="N35" s="185"/>
      <c r="O35" s="185"/>
      <c r="P35" s="185"/>
      <c r="Q35" s="185"/>
      <c r="R35" s="185">
        <v>45.024000000000001</v>
      </c>
      <c r="S35" s="185">
        <v>605.029</v>
      </c>
      <c r="T35" s="185">
        <v>0.38</v>
      </c>
      <c r="U35" s="185">
        <v>9.5</v>
      </c>
      <c r="V35" s="185"/>
      <c r="W35" s="185"/>
      <c r="X35" s="185">
        <v>0.38800000000000001</v>
      </c>
      <c r="Y35" s="185">
        <v>1.9770000000000001</v>
      </c>
      <c r="Z35" s="185">
        <v>262.16199999999998</v>
      </c>
      <c r="AA35" s="185">
        <v>4300.9759999999997</v>
      </c>
      <c r="AB35" s="185">
        <v>0.187</v>
      </c>
      <c r="AC35" s="185">
        <v>9.5909999999999993</v>
      </c>
      <c r="AD35" s="185"/>
      <c r="AE35" s="185"/>
      <c r="AF35" s="186">
        <f>' Citrus 2013-14(Final)'!J35</f>
        <v>0.56399999999999995</v>
      </c>
      <c r="AG35" s="186">
        <f>' Citrus 2013-14(Final)'!K35</f>
        <v>1.6259999999999999</v>
      </c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6">
        <f t="shared" si="0"/>
        <v>378.96499999999997</v>
      </c>
      <c r="BC35" s="186">
        <f t="shared" si="1"/>
        <v>6887.4539999999997</v>
      </c>
    </row>
    <row r="36" spans="1:55" ht="15.75" customHeight="1" x14ac:dyDescent="0.25">
      <c r="A36" s="184" t="s">
        <v>90</v>
      </c>
      <c r="B36" s="185"/>
      <c r="C36" s="185"/>
      <c r="D36" s="185">
        <v>0.52400000000000002</v>
      </c>
      <c r="E36" s="185">
        <v>1.135</v>
      </c>
      <c r="F36" s="185">
        <v>29.974</v>
      </c>
      <c r="G36" s="185">
        <v>77.447000000000003</v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>
        <v>2.0390000000000001</v>
      </c>
      <c r="S36" s="185">
        <v>11.958</v>
      </c>
      <c r="T36" s="185"/>
      <c r="U36" s="185"/>
      <c r="V36" s="185"/>
      <c r="W36" s="185"/>
      <c r="X36" s="185">
        <v>9.4410000000000007</v>
      </c>
      <c r="Y36" s="185">
        <v>30.704999999999998</v>
      </c>
      <c r="Z36" s="185">
        <v>36.963000000000001</v>
      </c>
      <c r="AA36" s="185">
        <v>150.43700000000001</v>
      </c>
      <c r="AB36" s="185"/>
      <c r="AC36" s="185"/>
      <c r="AD36" s="185"/>
      <c r="AE36" s="185"/>
      <c r="AF36" s="186">
        <f>' Citrus 2013-14(Final)'!J36</f>
        <v>20.978000000000002</v>
      </c>
      <c r="AG36" s="186">
        <f>' Citrus 2013-14(Final)'!K36</f>
        <v>91.391999999999996</v>
      </c>
      <c r="AH36" s="185">
        <v>7.9969999999999999</v>
      </c>
      <c r="AI36" s="185">
        <v>45.301000000000002</v>
      </c>
      <c r="AJ36" s="185">
        <v>13.406000000000001</v>
      </c>
      <c r="AK36" s="185">
        <v>91.167000000000002</v>
      </c>
      <c r="AL36" s="185"/>
      <c r="AM36" s="185"/>
      <c r="AN36" s="185"/>
      <c r="AO36" s="185"/>
      <c r="AP36" s="185">
        <v>8.5340000000000007</v>
      </c>
      <c r="AQ36" s="185">
        <v>34.764000000000003</v>
      </c>
      <c r="AR36" s="185"/>
      <c r="AS36" s="185"/>
      <c r="AT36" s="185"/>
      <c r="AU36" s="185"/>
      <c r="AV36" s="185"/>
      <c r="AW36" s="185"/>
      <c r="AX36" s="185">
        <v>16.805</v>
      </c>
      <c r="AY36" s="185">
        <v>17.059999999999999</v>
      </c>
      <c r="AZ36" s="185">
        <f>17.392+7.57</f>
        <v>24.962</v>
      </c>
      <c r="BA36" s="185">
        <f>98.455+28.671</f>
        <v>127.126</v>
      </c>
      <c r="BB36" s="186">
        <f t="shared" si="0"/>
        <v>171.62300000000002</v>
      </c>
      <c r="BC36" s="186">
        <f t="shared" si="1"/>
        <v>678.49199999999996</v>
      </c>
    </row>
    <row r="37" spans="1:55" ht="15.75" customHeight="1" x14ac:dyDescent="0.25">
      <c r="A37" s="184" t="s">
        <v>40</v>
      </c>
      <c r="B37" s="185"/>
      <c r="C37" s="185"/>
      <c r="D37" s="185"/>
      <c r="E37" s="185"/>
      <c r="F37" s="185"/>
      <c r="G37" s="185"/>
      <c r="H37" s="185"/>
      <c r="I37" s="185"/>
      <c r="J37" s="185">
        <v>45.5</v>
      </c>
      <c r="K37" s="185">
        <v>1097.5</v>
      </c>
      <c r="L37" s="185"/>
      <c r="M37" s="185"/>
      <c r="N37" s="185"/>
      <c r="O37" s="185"/>
      <c r="P37" s="185"/>
      <c r="Q37" s="185"/>
      <c r="R37" s="185">
        <v>14.35</v>
      </c>
      <c r="S37" s="185">
        <v>186</v>
      </c>
      <c r="T37" s="185">
        <v>11.47</v>
      </c>
      <c r="U37" s="185">
        <v>194.5</v>
      </c>
      <c r="V37" s="185"/>
      <c r="W37" s="185"/>
      <c r="X37" s="185">
        <v>9.3000000000000007</v>
      </c>
      <c r="Y37" s="185">
        <v>93.9</v>
      </c>
      <c r="Z37" s="185">
        <v>93.5</v>
      </c>
      <c r="AA37" s="185">
        <v>430.71</v>
      </c>
      <c r="AB37" s="185">
        <v>11.4</v>
      </c>
      <c r="AC37" s="185">
        <v>335</v>
      </c>
      <c r="AD37" s="185"/>
      <c r="AE37" s="185"/>
      <c r="AF37" s="186">
        <f>' Citrus 2013-14(Final)'!J37</f>
        <v>11.879999999999999</v>
      </c>
      <c r="AG37" s="186">
        <f>' Citrus 2013-14(Final)'!K37</f>
        <v>111</v>
      </c>
      <c r="AH37" s="185"/>
      <c r="AI37" s="185"/>
      <c r="AJ37" s="185"/>
      <c r="AK37" s="185"/>
      <c r="AL37" s="185"/>
      <c r="AM37" s="185"/>
      <c r="AN37" s="185">
        <v>10.7</v>
      </c>
      <c r="AO37" s="185">
        <v>316</v>
      </c>
      <c r="AP37" s="185"/>
      <c r="AQ37" s="185"/>
      <c r="AR37" s="185"/>
      <c r="AS37" s="185"/>
      <c r="AT37" s="185">
        <v>4.2</v>
      </c>
      <c r="AU37" s="185">
        <v>45.4</v>
      </c>
      <c r="AV37" s="185"/>
      <c r="AW37" s="185"/>
      <c r="AX37" s="185"/>
      <c r="AY37" s="185"/>
      <c r="AZ37" s="185">
        <v>11.2</v>
      </c>
      <c r="BA37" s="185">
        <v>99.7</v>
      </c>
      <c r="BB37" s="186">
        <f t="shared" si="0"/>
        <v>223.49999999999997</v>
      </c>
      <c r="BC37" s="186">
        <f t="shared" si="1"/>
        <v>2909.71</v>
      </c>
    </row>
    <row r="38" spans="1:55" ht="15.75" customHeight="1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6"/>
      <c r="AG38" s="186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6"/>
      <c r="BC38" s="186"/>
    </row>
    <row r="39" spans="1:55" ht="15.75" customHeight="1" x14ac:dyDescent="0.25">
      <c r="A39" s="184" t="s">
        <v>9</v>
      </c>
      <c r="B39" s="186">
        <f>SUM(B3:B38)</f>
        <v>21.393999999999998</v>
      </c>
      <c r="C39" s="186">
        <f t="shared" ref="C39:BC39" si="2">SUM(C3:C38)</f>
        <v>12.744</v>
      </c>
      <c r="D39" s="186">
        <f t="shared" si="2"/>
        <v>103.54799999999999</v>
      </c>
      <c r="E39" s="186">
        <f t="shared" si="2"/>
        <v>1225.211</v>
      </c>
      <c r="F39" s="186">
        <f t="shared" si="2"/>
        <v>313.04399999999998</v>
      </c>
      <c r="G39" s="186">
        <f t="shared" si="2"/>
        <v>2497.6779999999999</v>
      </c>
      <c r="H39" s="186">
        <f t="shared" si="2"/>
        <v>0.745</v>
      </c>
      <c r="I39" s="186">
        <f t="shared" si="2"/>
        <v>1.831</v>
      </c>
      <c r="J39" s="186">
        <f t="shared" si="2"/>
        <v>802.56600000000003</v>
      </c>
      <c r="K39" s="186">
        <f t="shared" si="2"/>
        <v>29724.547999999995</v>
      </c>
      <c r="L39" s="186">
        <f t="shared" si="2"/>
        <v>48.448</v>
      </c>
      <c r="M39" s="186">
        <f t="shared" si="2"/>
        <v>662.95899999999995</v>
      </c>
      <c r="N39" s="186">
        <f t="shared" si="2"/>
        <v>21.771000000000001</v>
      </c>
      <c r="O39" s="186">
        <f t="shared" si="2"/>
        <v>165.15</v>
      </c>
      <c r="P39" s="186">
        <f t="shared" si="2"/>
        <v>118.735</v>
      </c>
      <c r="Q39" s="186">
        <f t="shared" si="2"/>
        <v>2585.3379999999997</v>
      </c>
      <c r="R39" s="186">
        <f t="shared" si="2"/>
        <v>268.21600000000001</v>
      </c>
      <c r="S39" s="186">
        <f t="shared" si="2"/>
        <v>3667.8938999999991</v>
      </c>
      <c r="T39" s="186">
        <f t="shared" si="2"/>
        <v>157.584</v>
      </c>
      <c r="U39" s="186">
        <f t="shared" si="2"/>
        <v>1572.8700000000001</v>
      </c>
      <c r="V39" s="186">
        <f t="shared" si="2"/>
        <v>4.7279999999999998</v>
      </c>
      <c r="W39" s="186">
        <f t="shared" si="2"/>
        <v>8.2409999999999997</v>
      </c>
      <c r="X39" s="186">
        <f t="shared" si="2"/>
        <v>84.166000000000011</v>
      </c>
      <c r="Y39" s="186">
        <f t="shared" si="2"/>
        <v>585.29699999999991</v>
      </c>
      <c r="Z39" s="186">
        <f t="shared" si="2"/>
        <v>2515.9689999999996</v>
      </c>
      <c r="AA39" s="186">
        <f t="shared" si="2"/>
        <v>18431.331000000002</v>
      </c>
      <c r="AB39" s="186">
        <f t="shared" si="2"/>
        <v>133.36000000000001</v>
      </c>
      <c r="AC39" s="186">
        <f t="shared" si="2"/>
        <v>5639.3</v>
      </c>
      <c r="AD39" s="186">
        <f t="shared" si="2"/>
        <v>19.012999999999998</v>
      </c>
      <c r="AE39" s="186">
        <f t="shared" si="2"/>
        <v>123.935</v>
      </c>
      <c r="AF39" s="186">
        <f t="shared" si="2"/>
        <v>1077.7270000000001</v>
      </c>
      <c r="AG39" s="186">
        <f t="shared" si="2"/>
        <v>11147.055000000002</v>
      </c>
      <c r="AH39" s="186">
        <f t="shared" si="2"/>
        <v>18.097999999999999</v>
      </c>
      <c r="AI39" s="186">
        <f t="shared" si="2"/>
        <v>93.521000000000015</v>
      </c>
      <c r="AJ39" s="186">
        <f t="shared" si="2"/>
        <v>42.28</v>
      </c>
      <c r="AK39" s="186">
        <f t="shared" si="2"/>
        <v>316.697</v>
      </c>
      <c r="AL39" s="186">
        <f t="shared" si="2"/>
        <v>1.474</v>
      </c>
      <c r="AM39" s="186">
        <f t="shared" si="2"/>
        <v>0.17100000000000001</v>
      </c>
      <c r="AN39" s="186">
        <f t="shared" si="2"/>
        <v>109.876</v>
      </c>
      <c r="AO39" s="186">
        <f t="shared" si="2"/>
        <v>1736.7390000000003</v>
      </c>
      <c r="AP39" s="186">
        <f t="shared" si="2"/>
        <v>23.154000000000003</v>
      </c>
      <c r="AQ39" s="186">
        <f t="shared" si="2"/>
        <v>75.804000000000002</v>
      </c>
      <c r="AR39" s="186">
        <f t="shared" si="2"/>
        <v>130.76500000000001</v>
      </c>
      <c r="AS39" s="186">
        <f t="shared" si="2"/>
        <v>1345.72255</v>
      </c>
      <c r="AT39" s="186">
        <f t="shared" si="2"/>
        <v>176.96699999999996</v>
      </c>
      <c r="AU39" s="186">
        <f t="shared" si="2"/>
        <v>1744.2950000000001</v>
      </c>
      <c r="AV39" s="186">
        <f t="shared" si="2"/>
        <v>0.20899999999999999</v>
      </c>
      <c r="AW39" s="186">
        <f t="shared" si="2"/>
        <v>1.611</v>
      </c>
      <c r="AX39" s="186">
        <f t="shared" si="2"/>
        <v>121.87</v>
      </c>
      <c r="AY39" s="186">
        <f t="shared" si="2"/>
        <v>240.631</v>
      </c>
      <c r="AZ39" s="186">
        <f t="shared" si="2"/>
        <v>900.60500000000002</v>
      </c>
      <c r="BA39" s="186">
        <f t="shared" si="2"/>
        <v>5370.5609999999997</v>
      </c>
      <c r="BB39" s="186">
        <f t="shared" si="2"/>
        <v>7216.3120000000008</v>
      </c>
      <c r="BC39" s="186">
        <f t="shared" si="2"/>
        <v>88977.134449999998</v>
      </c>
    </row>
    <row r="40" spans="1:55" ht="15.75" customHeight="1" x14ac:dyDescent="0.25">
      <c r="A40" s="236" t="s">
        <v>303</v>
      </c>
    </row>
    <row r="41" spans="1:55" ht="15.75" customHeight="1" x14ac:dyDescent="0.25">
      <c r="A41" s="236" t="s">
        <v>209</v>
      </c>
    </row>
  </sheetData>
  <mergeCells count="27">
    <mergeCell ref="R1:S1"/>
    <mergeCell ref="T1:U1"/>
    <mergeCell ref="B1:C1"/>
    <mergeCell ref="D1:E1"/>
    <mergeCell ref="F1:G1"/>
    <mergeCell ref="H1:I1"/>
    <mergeCell ref="J1:K1"/>
    <mergeCell ref="L1:M1"/>
    <mergeCell ref="N1:O1"/>
    <mergeCell ref="P1:Q1"/>
    <mergeCell ref="AH1:AI1"/>
    <mergeCell ref="AJ1:AK1"/>
    <mergeCell ref="AD1:AE1"/>
    <mergeCell ref="AF1:AG1"/>
    <mergeCell ref="V1:W1"/>
    <mergeCell ref="X1:Y1"/>
    <mergeCell ref="Z1:AA1"/>
    <mergeCell ref="AB1:AC1"/>
    <mergeCell ref="AL1:AM1"/>
    <mergeCell ref="AN1:AO1"/>
    <mergeCell ref="BB1:BC1"/>
    <mergeCell ref="AP1:AQ1"/>
    <mergeCell ref="AR1:AS1"/>
    <mergeCell ref="AT1:AU1"/>
    <mergeCell ref="AV1:AW1"/>
    <mergeCell ref="AX1:AY1"/>
    <mergeCell ref="AZ1:BA1"/>
  </mergeCells>
  <phoneticPr fontId="20" type="noConversion"/>
  <printOptions horizontalCentered="1" verticalCentered="1"/>
  <pageMargins left="0.22" right="0.17" top="0.51" bottom="0.25" header="0.16" footer="0.25"/>
  <pageSetup paperSize="9" scale="69" orientation="landscape" r:id="rId1"/>
  <headerFooter alignWithMargins="0">
    <oddHeader xml:space="preserve">&amp;C&amp;"-,Bold"&amp;16&amp;UArea and Production of Fruit Crops 2013-14 (Final)&amp;R&amp;"-,Bold"&amp;11Area in'000 Ha
Production in '000 MT </oddHeader>
  </headerFooter>
  <colBreaks count="2" manualBreakCount="2">
    <brk id="21" max="38" man="1"/>
    <brk id="39" max="38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AH62"/>
  <sheetViews>
    <sheetView topLeftCell="AE1" workbookViewId="0">
      <selection activeCell="AL21" sqref="AL21"/>
    </sheetView>
  </sheetViews>
  <sheetFormatPr defaultRowHeight="12.75" x14ac:dyDescent="0.2"/>
  <cols>
    <col min="11" max="11" width="23.5703125" customWidth="1"/>
    <col min="12" max="13" width="9.140625" customWidth="1"/>
    <col min="14" max="14" width="14.140625" customWidth="1"/>
    <col min="17" max="17" width="20.28515625" customWidth="1"/>
    <col min="31" max="31" width="25" customWidth="1"/>
  </cols>
  <sheetData>
    <row r="1" spans="11:34" x14ac:dyDescent="0.2">
      <c r="K1" s="147" t="s">
        <v>256</v>
      </c>
    </row>
    <row r="2" spans="11:34" x14ac:dyDescent="0.2">
      <c r="K2" s="147"/>
    </row>
    <row r="3" spans="11:34" ht="25.5" customHeight="1" x14ac:dyDescent="0.25">
      <c r="K3" s="137" t="s">
        <v>245</v>
      </c>
      <c r="L3" s="137" t="s">
        <v>9</v>
      </c>
      <c r="M3" s="137"/>
      <c r="N3" s="137" t="s">
        <v>257</v>
      </c>
      <c r="Q3" s="119" t="s">
        <v>224</v>
      </c>
      <c r="R3" t="s">
        <v>9</v>
      </c>
      <c r="AE3" s="226" t="s">
        <v>224</v>
      </c>
      <c r="AF3" t="s">
        <v>9</v>
      </c>
    </row>
    <row r="4" spans="11:34" ht="15.75" x14ac:dyDescent="0.25">
      <c r="K4" s="137"/>
      <c r="L4" s="137" t="s">
        <v>48</v>
      </c>
      <c r="M4" s="137" t="s">
        <v>10</v>
      </c>
      <c r="N4" s="148" t="s">
        <v>204</v>
      </c>
      <c r="Q4" s="224"/>
      <c r="R4" t="s">
        <v>48</v>
      </c>
      <c r="S4" t="s">
        <v>10</v>
      </c>
      <c r="AE4" s="227"/>
      <c r="AF4" t="s">
        <v>48</v>
      </c>
      <c r="AG4" t="s">
        <v>10</v>
      </c>
    </row>
    <row r="5" spans="11:34" ht="15.75" x14ac:dyDescent="0.25">
      <c r="K5" s="1" t="s">
        <v>12</v>
      </c>
      <c r="L5">
        <v>2363.9479999999999</v>
      </c>
      <c r="M5">
        <v>29597.613999999998</v>
      </c>
      <c r="N5" s="149">
        <f>M5/$M$40</f>
        <v>0.10561160584362167</v>
      </c>
      <c r="Q5" s="224"/>
      <c r="AE5" s="227"/>
    </row>
    <row r="6" spans="11:34" ht="15.75" x14ac:dyDescent="0.25">
      <c r="K6" s="1" t="s">
        <v>40</v>
      </c>
      <c r="L6">
        <v>1780.8099999999997</v>
      </c>
      <c r="M6">
        <v>28488.290000000005</v>
      </c>
      <c r="N6" s="149">
        <f t="shared" ref="N6:N38" si="0">M6/$M$40</f>
        <v>0.10165326349072562</v>
      </c>
      <c r="Q6" s="128" t="s">
        <v>40</v>
      </c>
      <c r="R6">
        <v>1778.0589999999997</v>
      </c>
      <c r="S6">
        <v>26678.48444444445</v>
      </c>
      <c r="T6" s="225">
        <f>S6/$S$42</f>
        <v>9.8647440417026097E-2</v>
      </c>
      <c r="AE6" s="228" t="s">
        <v>40</v>
      </c>
      <c r="AF6">
        <v>1778.2589999999998</v>
      </c>
      <c r="AG6">
        <v>26679.134444444451</v>
      </c>
      <c r="AH6" s="225">
        <f>AG6/$AG$42</f>
        <v>9.6874055864486414E-2</v>
      </c>
    </row>
    <row r="7" spans="11:34" ht="15.75" x14ac:dyDescent="0.25">
      <c r="K7" s="1" t="s">
        <v>38</v>
      </c>
      <c r="L7">
        <v>1486.962</v>
      </c>
      <c r="M7">
        <v>26577.063000000002</v>
      </c>
      <c r="N7" s="149">
        <f t="shared" si="0"/>
        <v>9.4833532934009535E-2</v>
      </c>
      <c r="Q7" s="128" t="s">
        <v>38</v>
      </c>
      <c r="R7">
        <v>1450.2859999999998</v>
      </c>
      <c r="S7">
        <v>25788.548653846156</v>
      </c>
      <c r="T7" s="225">
        <f t="shared" ref="T7:T42" si="1">S7/$S$42</f>
        <v>9.5356777933524123E-2</v>
      </c>
      <c r="AE7" s="228" t="s">
        <v>38</v>
      </c>
      <c r="AF7">
        <v>1462.671</v>
      </c>
      <c r="AG7">
        <v>26042.869653846152</v>
      </c>
      <c r="AH7" s="225">
        <f t="shared" ref="AH7:AH42" si="2">AG7/$AG$42</f>
        <v>9.4563727881493684E-2</v>
      </c>
    </row>
    <row r="8" spans="11:34" ht="15.75" x14ac:dyDescent="0.25">
      <c r="K8" s="1" t="s">
        <v>28</v>
      </c>
      <c r="L8">
        <v>2649.2420000000002</v>
      </c>
      <c r="M8">
        <v>22152.25</v>
      </c>
      <c r="N8" s="149">
        <f t="shared" si="0"/>
        <v>7.9044705953303138E-2</v>
      </c>
      <c r="Q8" s="128" t="s">
        <v>28</v>
      </c>
      <c r="R8">
        <v>2649.2420000000002</v>
      </c>
      <c r="S8">
        <v>24265.206666666669</v>
      </c>
      <c r="T8" s="225">
        <f t="shared" si="1"/>
        <v>8.9724007142965384E-2</v>
      </c>
      <c r="AE8" s="228" t="s">
        <v>28</v>
      </c>
      <c r="AF8">
        <v>2651.2420000000002</v>
      </c>
      <c r="AG8">
        <v>24277.01666666667</v>
      </c>
      <c r="AH8" s="225">
        <f t="shared" si="2"/>
        <v>8.8151775451600758E-2</v>
      </c>
    </row>
    <row r="9" spans="11:34" ht="15.75" x14ac:dyDescent="0.25">
      <c r="K9" s="1" t="s">
        <v>57</v>
      </c>
      <c r="L9">
        <v>1476.165</v>
      </c>
      <c r="M9">
        <v>21951.151000000005</v>
      </c>
      <c r="N9" s="149">
        <f t="shared" si="0"/>
        <v>7.8327134992226821E-2</v>
      </c>
      <c r="Q9" s="128" t="s">
        <v>57</v>
      </c>
      <c r="R9">
        <v>1490.229</v>
      </c>
      <c r="S9">
        <v>21668.307598046398</v>
      </c>
      <c r="T9" s="225">
        <f t="shared" si="1"/>
        <v>8.0121608375740977E-2</v>
      </c>
      <c r="AE9" s="228" t="s">
        <v>57</v>
      </c>
      <c r="AF9">
        <v>1569.7670000000001</v>
      </c>
      <c r="AG9">
        <v>23384.516486935288</v>
      </c>
      <c r="AH9" s="225">
        <f t="shared" si="2"/>
        <v>8.4911036421989328E-2</v>
      </c>
    </row>
    <row r="10" spans="11:34" ht="15.75" x14ac:dyDescent="0.25">
      <c r="K10" s="1" t="s">
        <v>20</v>
      </c>
      <c r="L10">
        <v>1543.395</v>
      </c>
      <c r="M10">
        <v>20961.802</v>
      </c>
      <c r="N10" s="149">
        <f t="shared" si="0"/>
        <v>7.4796893107533624E-2</v>
      </c>
      <c r="Q10" s="128" t="s">
        <v>20</v>
      </c>
      <c r="R10">
        <v>1551.7549999999999</v>
      </c>
      <c r="S10">
        <v>20812.949999999993</v>
      </c>
      <c r="T10" s="225">
        <f t="shared" si="1"/>
        <v>7.6958803612065418E-2</v>
      </c>
      <c r="AE10" s="228" t="s">
        <v>20</v>
      </c>
      <c r="AF10">
        <v>1551.7549999999999</v>
      </c>
      <c r="AG10">
        <v>20812.949999999993</v>
      </c>
      <c r="AH10" s="225">
        <f t="shared" si="2"/>
        <v>7.5573474289553424E-2</v>
      </c>
    </row>
    <row r="11" spans="11:34" ht="15.75" x14ac:dyDescent="0.25">
      <c r="K11" s="1" t="s">
        <v>15</v>
      </c>
      <c r="L11">
        <v>1210.7179999999998</v>
      </c>
      <c r="M11">
        <v>20862.598999999998</v>
      </c>
      <c r="N11" s="149">
        <f t="shared" si="0"/>
        <v>7.4442912271966782E-2</v>
      </c>
      <c r="Q11" s="128" t="s">
        <v>27</v>
      </c>
      <c r="R11">
        <v>1198.4340000000002</v>
      </c>
      <c r="S11">
        <v>19775.972999999998</v>
      </c>
      <c r="T11" s="225">
        <f t="shared" si="1"/>
        <v>7.3124435620347358E-2</v>
      </c>
      <c r="AE11" s="228" t="s">
        <v>27</v>
      </c>
      <c r="AF11">
        <v>1223.2139999999999</v>
      </c>
      <c r="AG11">
        <v>20058.418999999994</v>
      </c>
      <c r="AH11" s="225">
        <f t="shared" si="2"/>
        <v>7.2833712308230686E-2</v>
      </c>
    </row>
    <row r="12" spans="11:34" ht="15.75" x14ac:dyDescent="0.25">
      <c r="K12" s="1" t="s">
        <v>27</v>
      </c>
      <c r="L12">
        <v>1198.145</v>
      </c>
      <c r="M12">
        <v>19680.669999999998</v>
      </c>
      <c r="N12" s="149">
        <f t="shared" si="0"/>
        <v>7.0225497324831312E-2</v>
      </c>
      <c r="Q12" s="128" t="s">
        <v>15</v>
      </c>
      <c r="R12">
        <v>1677.7610000000002</v>
      </c>
      <c r="S12">
        <v>19226.173519230768</v>
      </c>
      <c r="T12" s="225">
        <f t="shared" si="1"/>
        <v>7.1091474878764119E-2</v>
      </c>
      <c r="AE12" s="228" t="s">
        <v>25</v>
      </c>
      <c r="AF12">
        <v>1971.7170000000001</v>
      </c>
      <c r="AG12">
        <v>19457.903874542124</v>
      </c>
      <c r="AH12" s="225">
        <f t="shared" si="2"/>
        <v>7.0653194198386657E-2</v>
      </c>
    </row>
    <row r="13" spans="11:34" ht="15.75" x14ac:dyDescent="0.25">
      <c r="K13" s="1" t="s">
        <v>25</v>
      </c>
      <c r="L13">
        <v>1940.0229999999999</v>
      </c>
      <c r="M13">
        <v>18678.061999999998</v>
      </c>
      <c r="N13" s="149">
        <f t="shared" si="0"/>
        <v>6.6647944049365873E-2</v>
      </c>
      <c r="Q13" s="128" t="s">
        <v>25</v>
      </c>
      <c r="R13">
        <v>1911.3440000000001</v>
      </c>
      <c r="S13">
        <v>18694.069662087913</v>
      </c>
      <c r="T13" s="225">
        <f t="shared" si="1"/>
        <v>6.9123946189026272E-2</v>
      </c>
      <c r="AE13" s="228" t="s">
        <v>15</v>
      </c>
      <c r="AF13">
        <v>1683.1720000000003</v>
      </c>
      <c r="AG13">
        <v>19416.398538461537</v>
      </c>
      <c r="AH13" s="225">
        <f t="shared" si="2"/>
        <v>7.0502485026973399E-2</v>
      </c>
    </row>
    <row r="14" spans="11:34" ht="15.75" x14ac:dyDescent="0.25">
      <c r="K14" s="1" t="s">
        <v>189</v>
      </c>
      <c r="L14">
        <v>1353.5610000000001</v>
      </c>
      <c r="M14">
        <v>12379.181</v>
      </c>
      <c r="N14" s="149">
        <f t="shared" si="0"/>
        <v>4.4171979012864029E-2</v>
      </c>
      <c r="Q14" s="128" t="s">
        <v>12</v>
      </c>
      <c r="R14">
        <v>1228.4399999999998</v>
      </c>
      <c r="S14">
        <v>13828.345769230767</v>
      </c>
      <c r="T14" s="225">
        <f t="shared" si="1"/>
        <v>5.1132249216663983E-2</v>
      </c>
      <c r="AE14" s="228" t="s">
        <v>12</v>
      </c>
      <c r="AF14">
        <v>1244.6179999999997</v>
      </c>
      <c r="AG14">
        <v>14201.904769230767</v>
      </c>
      <c r="AH14" s="225">
        <f t="shared" si="2"/>
        <v>5.1568244047102779E-2</v>
      </c>
    </row>
    <row r="15" spans="11:34" ht="15.75" x14ac:dyDescent="0.25">
      <c r="K15" s="1" t="s">
        <v>26</v>
      </c>
      <c r="L15">
        <v>1626.1770000000001</v>
      </c>
      <c r="M15">
        <v>10336.842000000001</v>
      </c>
      <c r="N15" s="149">
        <f t="shared" si="0"/>
        <v>3.6884408417914842E-2</v>
      </c>
      <c r="Q15" s="128" t="s">
        <v>189</v>
      </c>
      <c r="R15">
        <v>1353.5650000000003</v>
      </c>
      <c r="S15">
        <v>12168.959572649574</v>
      </c>
      <c r="T15" s="225">
        <f t="shared" si="1"/>
        <v>4.4996435868759704E-2</v>
      </c>
      <c r="AE15" s="228" t="s">
        <v>189</v>
      </c>
      <c r="AF15">
        <v>1359.3622</v>
      </c>
      <c r="AG15">
        <v>12092.890014957267</v>
      </c>
      <c r="AH15" s="225">
        <f t="shared" si="2"/>
        <v>4.3910243989043869E-2</v>
      </c>
    </row>
    <row r="16" spans="11:34" ht="15.75" x14ac:dyDescent="0.25">
      <c r="K16" s="1" t="s">
        <v>55</v>
      </c>
      <c r="L16">
        <v>665.70700000000011</v>
      </c>
      <c r="M16">
        <v>7533.0299999999979</v>
      </c>
      <c r="N16" s="149">
        <f t="shared" si="0"/>
        <v>2.6879713856940535E-2</v>
      </c>
      <c r="Q16" s="128" t="s">
        <v>26</v>
      </c>
      <c r="R16">
        <v>1689.3050000000003</v>
      </c>
      <c r="S16">
        <v>10885.405999999999</v>
      </c>
      <c r="T16" s="225">
        <f t="shared" si="1"/>
        <v>4.0250316393956591E-2</v>
      </c>
      <c r="AE16" s="228" t="s">
        <v>26</v>
      </c>
      <c r="AF16">
        <v>1689.933</v>
      </c>
      <c r="AG16">
        <v>10887.39</v>
      </c>
      <c r="AH16" s="225">
        <f t="shared" si="2"/>
        <v>3.9532977701159197E-2</v>
      </c>
    </row>
    <row r="17" spans="11:34" ht="15.75" x14ac:dyDescent="0.25">
      <c r="K17" s="1" t="s">
        <v>21</v>
      </c>
      <c r="L17">
        <v>448.05500000000006</v>
      </c>
      <c r="M17">
        <v>6265.2150000000001</v>
      </c>
      <c r="N17" s="149">
        <f t="shared" si="0"/>
        <v>2.235583642335312E-2</v>
      </c>
      <c r="Q17" s="128" t="s">
        <v>241</v>
      </c>
      <c r="R17">
        <v>728.09700000000009</v>
      </c>
      <c r="S17">
        <v>8732.0930879120879</v>
      </c>
      <c r="T17" s="225">
        <f t="shared" si="1"/>
        <v>3.2288139695473277E-2</v>
      </c>
      <c r="AE17" s="228" t="s">
        <v>241</v>
      </c>
      <c r="AF17">
        <v>742.90499999999997</v>
      </c>
      <c r="AG17">
        <v>8853.4325396825407</v>
      </c>
      <c r="AH17" s="225">
        <f t="shared" si="2"/>
        <v>3.2147516638054402E-2</v>
      </c>
    </row>
    <row r="18" spans="11:34" ht="15.75" x14ac:dyDescent="0.25">
      <c r="K18" s="1" t="s">
        <v>14</v>
      </c>
      <c r="L18">
        <v>646.4079999999999</v>
      </c>
      <c r="M18">
        <v>6181.7759999999989</v>
      </c>
      <c r="N18" s="149">
        <f t="shared" si="0"/>
        <v>2.2058105438011327E-2</v>
      </c>
      <c r="Q18" s="128" t="s">
        <v>55</v>
      </c>
      <c r="R18">
        <v>661.81</v>
      </c>
      <c r="S18">
        <v>7524.84</v>
      </c>
      <c r="T18" s="225">
        <f t="shared" si="1"/>
        <v>2.7824151971355071E-2</v>
      </c>
      <c r="AE18" s="228" t="s">
        <v>55</v>
      </c>
      <c r="AF18">
        <v>698.65</v>
      </c>
      <c r="AG18">
        <v>8016.18</v>
      </c>
      <c r="AH18" s="225">
        <f t="shared" si="2"/>
        <v>2.910738617689624E-2</v>
      </c>
    </row>
    <row r="19" spans="11:34" ht="15.75" x14ac:dyDescent="0.25">
      <c r="K19" s="1" t="s">
        <v>33</v>
      </c>
      <c r="L19">
        <v>297.52000000000004</v>
      </c>
      <c r="M19">
        <v>5533.94</v>
      </c>
      <c r="N19" s="149">
        <f t="shared" si="0"/>
        <v>1.9746466388887014E-2</v>
      </c>
      <c r="Q19" s="128" t="s">
        <v>21</v>
      </c>
      <c r="R19">
        <v>448.125</v>
      </c>
      <c r="S19">
        <v>6285.4652182539676</v>
      </c>
      <c r="T19" s="225">
        <f t="shared" si="1"/>
        <v>2.3241389776176617E-2</v>
      </c>
      <c r="AE19" s="228" t="s">
        <v>21</v>
      </c>
      <c r="AF19">
        <v>450.90499999999997</v>
      </c>
      <c r="AG19">
        <v>6819.3050286324778</v>
      </c>
      <c r="AH19" s="225">
        <f t="shared" si="2"/>
        <v>2.4761438107235117E-2</v>
      </c>
    </row>
    <row r="20" spans="11:34" ht="15.75" x14ac:dyDescent="0.25">
      <c r="K20" s="1" t="s">
        <v>24</v>
      </c>
      <c r="L20">
        <v>423.37969999999996</v>
      </c>
      <c r="M20">
        <v>5151.3949999999986</v>
      </c>
      <c r="N20" s="149">
        <f t="shared" si="0"/>
        <v>1.8381451230656747E-2</v>
      </c>
      <c r="Q20" s="128" t="s">
        <v>33</v>
      </c>
      <c r="R20">
        <v>302.09899999999999</v>
      </c>
      <c r="S20">
        <v>5575.329999999999</v>
      </c>
      <c r="T20" s="225">
        <f t="shared" si="1"/>
        <v>2.0615565142973809E-2</v>
      </c>
      <c r="AE20" s="228" t="s">
        <v>14</v>
      </c>
      <c r="AF20">
        <v>646.15599999999995</v>
      </c>
      <c r="AG20">
        <v>6304.7099829059825</v>
      </c>
      <c r="AH20" s="225">
        <f t="shared" si="2"/>
        <v>2.289290263015268E-2</v>
      </c>
    </row>
    <row r="21" spans="11:34" ht="15.75" x14ac:dyDescent="0.25">
      <c r="K21" s="1" t="s">
        <v>23</v>
      </c>
      <c r="L21">
        <v>424.43575000000004</v>
      </c>
      <c r="M21">
        <v>3469.6210000000001</v>
      </c>
      <c r="N21" s="149">
        <f t="shared" si="0"/>
        <v>1.238046571857963E-2</v>
      </c>
      <c r="Q21" s="128" t="s">
        <v>14</v>
      </c>
      <c r="R21">
        <v>624.31400000000008</v>
      </c>
      <c r="S21">
        <v>5546.2578565323565</v>
      </c>
      <c r="T21" s="225">
        <f t="shared" si="1"/>
        <v>2.0508066812381168E-2</v>
      </c>
      <c r="AE21" s="228" t="s">
        <v>33</v>
      </c>
      <c r="AF21">
        <v>310.15400000000005</v>
      </c>
      <c r="AG21">
        <v>5879.5419999999995</v>
      </c>
      <c r="AH21" s="225">
        <f t="shared" si="2"/>
        <v>2.1349083919932042E-2</v>
      </c>
    </row>
    <row r="22" spans="11:34" ht="15.75" x14ac:dyDescent="0.25">
      <c r="K22" s="1" t="s">
        <v>34</v>
      </c>
      <c r="L22">
        <v>1390.319</v>
      </c>
      <c r="M22">
        <v>3432.4399999999996</v>
      </c>
      <c r="N22" s="149">
        <f t="shared" si="0"/>
        <v>1.2247794716218705E-2</v>
      </c>
      <c r="Q22" s="128" t="s">
        <v>24</v>
      </c>
      <c r="R22">
        <v>423.06470000000007</v>
      </c>
      <c r="S22">
        <v>5165.4975555555548</v>
      </c>
      <c r="T22" s="225">
        <f t="shared" si="1"/>
        <v>1.910015216183213E-2</v>
      </c>
      <c r="AE22" s="228" t="s">
        <v>24</v>
      </c>
      <c r="AF22">
        <v>427.983</v>
      </c>
      <c r="AG22">
        <v>5177.632555555555</v>
      </c>
      <c r="AH22" s="225">
        <f t="shared" si="2"/>
        <v>1.8800394985719594E-2</v>
      </c>
    </row>
    <row r="23" spans="11:34" ht="15.75" x14ac:dyDescent="0.25">
      <c r="K23" s="1" t="s">
        <v>22</v>
      </c>
      <c r="L23">
        <v>307.38166999999999</v>
      </c>
      <c r="M23">
        <v>2423.9750699999995</v>
      </c>
      <c r="N23" s="149">
        <f t="shared" si="0"/>
        <v>8.6493424661732952E-3</v>
      </c>
      <c r="Q23" s="128" t="s">
        <v>23</v>
      </c>
      <c r="R23">
        <v>423.96086999999994</v>
      </c>
      <c r="S23">
        <v>3475.2252471404149</v>
      </c>
      <c r="T23" s="225">
        <f t="shared" si="1"/>
        <v>1.2850133080719974E-2</v>
      </c>
      <c r="AE23" s="228" t="s">
        <v>23</v>
      </c>
      <c r="AF23">
        <v>428.94884000000013</v>
      </c>
      <c r="AG23">
        <v>3676.7645102234437</v>
      </c>
      <c r="AH23" s="225">
        <f t="shared" si="2"/>
        <v>1.3350623923187919E-2</v>
      </c>
    </row>
    <row r="24" spans="11:34" ht="15.75" x14ac:dyDescent="0.25">
      <c r="K24" s="1" t="s">
        <v>90</v>
      </c>
      <c r="L24">
        <v>298.52999999999997</v>
      </c>
      <c r="M24">
        <v>1908.143</v>
      </c>
      <c r="N24" s="149">
        <f t="shared" si="0"/>
        <v>6.8087260820843803E-3</v>
      </c>
      <c r="Q24" s="128" t="s">
        <v>34</v>
      </c>
      <c r="R24">
        <v>1817.0239999999999</v>
      </c>
      <c r="S24">
        <v>3043.8500000000004</v>
      </c>
      <c r="T24" s="225">
        <f t="shared" si="1"/>
        <v>1.1255062563191927E-2</v>
      </c>
      <c r="AE24" s="228" t="s">
        <v>34</v>
      </c>
      <c r="AF24">
        <v>1512.8820000000001</v>
      </c>
      <c r="AG24">
        <v>2593.1600000000003</v>
      </c>
      <c r="AH24" s="225">
        <f t="shared" si="2"/>
        <v>9.4159698932010337E-3</v>
      </c>
    </row>
    <row r="25" spans="11:34" ht="15.75" x14ac:dyDescent="0.25">
      <c r="K25" s="1" t="s">
        <v>37</v>
      </c>
      <c r="L25">
        <v>127.22</v>
      </c>
      <c r="M25">
        <v>1451.0001</v>
      </c>
      <c r="N25" s="149">
        <f t="shared" si="0"/>
        <v>5.1775271695973756E-3</v>
      </c>
      <c r="Q25" s="128" t="s">
        <v>22</v>
      </c>
      <c r="R25">
        <v>317.66899999999998</v>
      </c>
      <c r="S25">
        <v>2562.7735073840045</v>
      </c>
      <c r="T25" s="225">
        <f t="shared" si="1"/>
        <v>9.4762147152119107E-3</v>
      </c>
      <c r="AE25" s="228" t="s">
        <v>22</v>
      </c>
      <c r="AF25">
        <v>317.67</v>
      </c>
      <c r="AG25">
        <v>2419.4045073840048</v>
      </c>
      <c r="AH25" s="225">
        <f t="shared" si="2"/>
        <v>8.7850499008941454E-3</v>
      </c>
    </row>
    <row r="26" spans="11:34" ht="15.75" x14ac:dyDescent="0.25">
      <c r="K26" s="1" t="s">
        <v>32</v>
      </c>
      <c r="L26">
        <v>104.03981999999999</v>
      </c>
      <c r="M26">
        <v>909.61</v>
      </c>
      <c r="N26" s="149">
        <f t="shared" si="0"/>
        <v>3.2457134143115971E-3</v>
      </c>
      <c r="Q26" s="128" t="s">
        <v>90</v>
      </c>
      <c r="R26">
        <v>269.34338000000002</v>
      </c>
      <c r="S26">
        <v>1748.6724952380948</v>
      </c>
      <c r="T26" s="225">
        <f t="shared" si="1"/>
        <v>6.4659619680462873E-3</v>
      </c>
      <c r="AE26" s="228" t="s">
        <v>90</v>
      </c>
      <c r="AF26">
        <v>269.34338000000002</v>
      </c>
      <c r="AG26">
        <v>1748.6724952380948</v>
      </c>
      <c r="AH26" s="225">
        <f t="shared" si="2"/>
        <v>6.3495686992821989E-3</v>
      </c>
    </row>
    <row r="27" spans="11:34" ht="15.75" x14ac:dyDescent="0.25">
      <c r="K27" s="1" t="s">
        <v>30</v>
      </c>
      <c r="L27">
        <v>117.23500000000001</v>
      </c>
      <c r="M27">
        <v>880.94899999999984</v>
      </c>
      <c r="N27" s="149">
        <f t="shared" si="0"/>
        <v>3.143443878832012E-3</v>
      </c>
      <c r="Q27" s="128" t="s">
        <v>37</v>
      </c>
      <c r="R27">
        <v>136.57</v>
      </c>
      <c r="S27">
        <v>1617.11</v>
      </c>
      <c r="T27" s="225">
        <f t="shared" si="1"/>
        <v>5.9794911778055073E-3</v>
      </c>
      <c r="AE27" s="228" t="s">
        <v>37</v>
      </c>
      <c r="AF27">
        <v>115.67</v>
      </c>
      <c r="AG27">
        <v>1062.7401</v>
      </c>
      <c r="AH27" s="225">
        <f t="shared" si="2"/>
        <v>3.8588936995393474E-3</v>
      </c>
    </row>
    <row r="28" spans="11:34" ht="15.75" x14ac:dyDescent="0.25">
      <c r="K28" s="1" t="s">
        <v>31</v>
      </c>
      <c r="L28">
        <v>132.21300000000002</v>
      </c>
      <c r="M28">
        <v>841.37309000000005</v>
      </c>
      <c r="N28" s="149">
        <f t="shared" si="0"/>
        <v>3.0022272453620767E-3</v>
      </c>
      <c r="Q28" s="128" t="s">
        <v>30</v>
      </c>
      <c r="R28">
        <v>122.069</v>
      </c>
      <c r="S28">
        <v>978.99050488400485</v>
      </c>
      <c r="T28" s="225">
        <f t="shared" si="1"/>
        <v>3.6199547879298671E-3</v>
      </c>
      <c r="AE28" s="228" t="s">
        <v>30</v>
      </c>
      <c r="AF28">
        <v>123.777</v>
      </c>
      <c r="AG28">
        <v>1026.0994126984128</v>
      </c>
      <c r="AH28" s="225">
        <f t="shared" si="2"/>
        <v>3.7258484541638449E-3</v>
      </c>
    </row>
    <row r="29" spans="11:34" ht="15.75" x14ac:dyDescent="0.25">
      <c r="K29" s="1" t="s">
        <v>29</v>
      </c>
      <c r="L29">
        <v>90.470999999999989</v>
      </c>
      <c r="M29">
        <v>811.15</v>
      </c>
      <c r="N29" s="149">
        <f t="shared" si="0"/>
        <v>2.8943837864786577E-3</v>
      </c>
      <c r="Q29" s="128" t="s">
        <v>32</v>
      </c>
      <c r="R29">
        <v>90.556679999999986</v>
      </c>
      <c r="S29">
        <v>954.23886495726492</v>
      </c>
      <c r="T29" s="225">
        <f t="shared" si="1"/>
        <v>3.5284321255394544E-3</v>
      </c>
      <c r="AE29" s="228" t="s">
        <v>32</v>
      </c>
      <c r="AF29">
        <v>91.056679999999986</v>
      </c>
      <c r="AG29">
        <v>954.43886495726485</v>
      </c>
      <c r="AH29" s="225">
        <f t="shared" si="2"/>
        <v>3.4656433144651974E-3</v>
      </c>
    </row>
    <row r="30" spans="11:34" ht="15.75" x14ac:dyDescent="0.25">
      <c r="K30" s="1" t="s">
        <v>13</v>
      </c>
      <c r="L30">
        <v>106.82209999999999</v>
      </c>
      <c r="M30">
        <v>531.17479999999989</v>
      </c>
      <c r="N30" s="149">
        <f t="shared" si="0"/>
        <v>1.8953630387795641E-3</v>
      </c>
      <c r="Q30" s="128" t="s">
        <v>31</v>
      </c>
      <c r="R30">
        <v>130.02799999999999</v>
      </c>
      <c r="S30">
        <v>835.75206191697202</v>
      </c>
      <c r="T30" s="225">
        <f t="shared" si="1"/>
        <v>3.0903105423040465E-3</v>
      </c>
      <c r="AE30" s="228" t="s">
        <v>31</v>
      </c>
      <c r="AF30">
        <v>143.19299999999998</v>
      </c>
      <c r="AG30">
        <v>950.87637705738723</v>
      </c>
      <c r="AH30" s="225">
        <f t="shared" si="2"/>
        <v>3.4527076379893377E-3</v>
      </c>
    </row>
    <row r="31" spans="11:34" ht="15.75" x14ac:dyDescent="0.25">
      <c r="K31" s="1" t="s">
        <v>18</v>
      </c>
      <c r="L31">
        <v>32.795999999999999</v>
      </c>
      <c r="M31">
        <v>442.64799999999997</v>
      </c>
      <c r="N31" s="149">
        <f t="shared" si="0"/>
        <v>1.5794775248933056E-3</v>
      </c>
      <c r="Q31" s="128" t="s">
        <v>29</v>
      </c>
      <c r="R31">
        <v>91.37</v>
      </c>
      <c r="S31">
        <v>812.66177777777784</v>
      </c>
      <c r="T31" s="225">
        <f t="shared" si="1"/>
        <v>3.0049309761005514E-3</v>
      </c>
      <c r="AE31" s="228" t="s">
        <v>29</v>
      </c>
      <c r="AF31">
        <v>93.072000000000017</v>
      </c>
      <c r="AG31">
        <v>829.97416666666663</v>
      </c>
      <c r="AH31" s="225">
        <f t="shared" si="2"/>
        <v>3.0137021107328314E-3</v>
      </c>
    </row>
    <row r="32" spans="11:34" ht="15.75" x14ac:dyDescent="0.25">
      <c r="K32" s="1" t="s">
        <v>19</v>
      </c>
      <c r="L32">
        <v>104.46749999999999</v>
      </c>
      <c r="M32">
        <v>284.76400000000001</v>
      </c>
      <c r="N32" s="149">
        <f t="shared" si="0"/>
        <v>1.0161083703048863E-3</v>
      </c>
      <c r="Q32" s="128" t="s">
        <v>13</v>
      </c>
      <c r="R32">
        <v>106.8301</v>
      </c>
      <c r="S32">
        <v>532.13748620268609</v>
      </c>
      <c r="T32" s="225">
        <f t="shared" si="1"/>
        <v>1.9676530379062413E-3</v>
      </c>
      <c r="AE32" s="228" t="s">
        <v>13</v>
      </c>
      <c r="AF32">
        <v>108.0411</v>
      </c>
      <c r="AG32">
        <v>548.28048620268612</v>
      </c>
      <c r="AH32" s="225">
        <f t="shared" si="2"/>
        <v>1.9908499865469607E-3</v>
      </c>
    </row>
    <row r="33" spans="11:34" ht="15.75" x14ac:dyDescent="0.25">
      <c r="K33" s="1" t="s">
        <v>35</v>
      </c>
      <c r="L33">
        <v>74.341000000000008</v>
      </c>
      <c r="M33">
        <v>242.09799999999996</v>
      </c>
      <c r="N33" s="149">
        <f t="shared" si="0"/>
        <v>8.6386553157727906E-4</v>
      </c>
      <c r="Q33" s="128" t="s">
        <v>18</v>
      </c>
      <c r="R33">
        <v>32.795999999999999</v>
      </c>
      <c r="S33">
        <v>448.41466666666662</v>
      </c>
      <c r="T33" s="225">
        <f t="shared" si="1"/>
        <v>1.6580761626184555E-3</v>
      </c>
      <c r="AE33" s="228" t="s">
        <v>18</v>
      </c>
      <c r="AF33">
        <v>28</v>
      </c>
      <c r="AG33">
        <v>404.11666666666667</v>
      </c>
      <c r="AH33" s="225">
        <f t="shared" si="2"/>
        <v>1.4673797091865101E-3</v>
      </c>
    </row>
    <row r="34" spans="11:34" ht="15.75" x14ac:dyDescent="0.25">
      <c r="K34" s="1" t="s">
        <v>54</v>
      </c>
      <c r="L34">
        <v>39.575000000000003</v>
      </c>
      <c r="M34">
        <v>180.74</v>
      </c>
      <c r="N34" s="149">
        <f t="shared" si="0"/>
        <v>6.4492501456962662E-4</v>
      </c>
      <c r="Q34" s="128" t="s">
        <v>19</v>
      </c>
      <c r="R34">
        <v>104.6575</v>
      </c>
      <c r="S34">
        <v>284.94441880341878</v>
      </c>
      <c r="T34" s="225">
        <f t="shared" si="1"/>
        <v>1.0536219789624456E-3</v>
      </c>
      <c r="AE34" s="228" t="s">
        <v>19</v>
      </c>
      <c r="AF34">
        <v>104.9462</v>
      </c>
      <c r="AG34">
        <v>287.63142857142861</v>
      </c>
      <c r="AH34" s="225">
        <f t="shared" si="2"/>
        <v>1.0444125591043264E-3</v>
      </c>
    </row>
    <row r="35" spans="11:34" ht="15.75" x14ac:dyDescent="0.25">
      <c r="K35" s="1" t="s">
        <v>167</v>
      </c>
      <c r="L35">
        <v>3.7934999999999999</v>
      </c>
      <c r="M35">
        <v>53.954999999999998</v>
      </c>
      <c r="N35" s="149">
        <f t="shared" si="0"/>
        <v>1.925247823453812E-4</v>
      </c>
      <c r="Q35" s="128" t="s">
        <v>35</v>
      </c>
      <c r="R35">
        <v>74.432000000000002</v>
      </c>
      <c r="S35">
        <v>232.25501526251526</v>
      </c>
      <c r="T35" s="225">
        <f t="shared" si="1"/>
        <v>8.5879551469182278E-4</v>
      </c>
      <c r="AE35" s="228" t="s">
        <v>35</v>
      </c>
      <c r="AF35">
        <v>77.041499999999999</v>
      </c>
      <c r="AG35">
        <v>237.8172612942613</v>
      </c>
      <c r="AH35" s="225">
        <f t="shared" si="2"/>
        <v>8.6353336177879018E-4</v>
      </c>
    </row>
    <row r="36" spans="11:34" ht="15.75" x14ac:dyDescent="0.25">
      <c r="K36" s="1" t="s">
        <v>56</v>
      </c>
      <c r="L36">
        <v>3.0425</v>
      </c>
      <c r="M36">
        <v>49.614039999999996</v>
      </c>
      <c r="N36" s="149">
        <f t="shared" si="0"/>
        <v>1.7703516360439322E-4</v>
      </c>
      <c r="Q36" s="128" t="s">
        <v>54</v>
      </c>
      <c r="R36">
        <v>39.575000000000003</v>
      </c>
      <c r="S36">
        <v>180.74</v>
      </c>
      <c r="T36" s="225">
        <f t="shared" si="1"/>
        <v>6.6831151589970229E-4</v>
      </c>
      <c r="AE36" s="228" t="s">
        <v>54</v>
      </c>
      <c r="AF36">
        <v>39.645000000000003</v>
      </c>
      <c r="AG36">
        <v>184.93</v>
      </c>
      <c r="AH36" s="225">
        <f t="shared" si="2"/>
        <v>6.7149551603050601E-4</v>
      </c>
    </row>
    <row r="37" spans="11:34" ht="15.75" x14ac:dyDescent="0.25">
      <c r="K37" s="1" t="s">
        <v>16</v>
      </c>
      <c r="L37">
        <v>1.1000000000000001</v>
      </c>
      <c r="M37">
        <v>5.5</v>
      </c>
      <c r="N37" s="149">
        <f t="shared" si="0"/>
        <v>1.9625360075981777E-5</v>
      </c>
      <c r="Q37" s="128" t="s">
        <v>167</v>
      </c>
      <c r="R37">
        <v>8.7934999999999999</v>
      </c>
      <c r="S37">
        <v>56.954999999999998</v>
      </c>
      <c r="T37" s="225">
        <f t="shared" si="1"/>
        <v>2.1059910583195497E-4</v>
      </c>
      <c r="AE37" s="228" t="s">
        <v>167</v>
      </c>
      <c r="AF37">
        <v>8.7934999999999999</v>
      </c>
      <c r="AG37">
        <v>56.984999999999999</v>
      </c>
      <c r="AH37" s="225">
        <f t="shared" si="2"/>
        <v>2.0691706040663161E-4</v>
      </c>
    </row>
    <row r="38" spans="11:34" ht="15.75" x14ac:dyDescent="0.25">
      <c r="K38" s="1" t="s">
        <v>17</v>
      </c>
      <c r="L38">
        <v>0</v>
      </c>
      <c r="M38">
        <v>0</v>
      </c>
      <c r="N38" s="149">
        <f t="shared" si="0"/>
        <v>0</v>
      </c>
      <c r="Q38" s="128" t="s">
        <v>56</v>
      </c>
      <c r="R38">
        <v>3.0425</v>
      </c>
      <c r="S38">
        <v>49.614039999999996</v>
      </c>
      <c r="T38" s="225">
        <f t="shared" si="1"/>
        <v>1.8345487596718192E-4</v>
      </c>
      <c r="AE38" s="228" t="s">
        <v>56</v>
      </c>
      <c r="AF38">
        <v>3.0425</v>
      </c>
      <c r="AG38">
        <v>49.614039999999996</v>
      </c>
      <c r="AH38" s="225">
        <f t="shared" si="2"/>
        <v>1.8015251928923462E-4</v>
      </c>
    </row>
    <row r="39" spans="11:34" ht="15.75" x14ac:dyDescent="0.25">
      <c r="K39" s="1"/>
      <c r="Q39" s="128" t="s">
        <v>16</v>
      </c>
      <c r="R39">
        <v>1.1000000000000001</v>
      </c>
      <c r="S39">
        <v>5.5</v>
      </c>
      <c r="T39" s="225">
        <f t="shared" si="1"/>
        <v>2.0337021895808136E-5</v>
      </c>
      <c r="AE39" s="228" t="s">
        <v>16</v>
      </c>
      <c r="AF39">
        <v>1.1000000000000001</v>
      </c>
      <c r="AG39">
        <v>5.5</v>
      </c>
      <c r="AH39" s="225">
        <f t="shared" si="2"/>
        <v>1.9970936776984712E-5</v>
      </c>
    </row>
    <row r="40" spans="11:34" ht="15.75" x14ac:dyDescent="0.25">
      <c r="K40" s="1" t="s">
        <v>9</v>
      </c>
      <c r="L40">
        <v>24467.998540000001</v>
      </c>
      <c r="M40">
        <v>280249.63509999996</v>
      </c>
      <c r="N40" s="147"/>
      <c r="Q40" s="128" t="s">
        <v>17</v>
      </c>
      <c r="R40">
        <v>0</v>
      </c>
      <c r="S40">
        <v>0</v>
      </c>
      <c r="T40" s="225">
        <f t="shared" si="1"/>
        <v>0</v>
      </c>
      <c r="AE40" s="228" t="s">
        <v>17</v>
      </c>
      <c r="AF40">
        <v>0</v>
      </c>
      <c r="AG40">
        <v>0</v>
      </c>
      <c r="AH40" s="225">
        <f t="shared" si="2"/>
        <v>0</v>
      </c>
    </row>
    <row r="41" spans="11:34" ht="15.75" x14ac:dyDescent="0.25">
      <c r="K41" s="147"/>
      <c r="Q41" s="128" t="s">
        <v>75</v>
      </c>
      <c r="R41">
        <v>0</v>
      </c>
      <c r="S41">
        <v>1</v>
      </c>
      <c r="T41" s="225">
        <f t="shared" si="1"/>
        <v>3.6976403446923882E-6</v>
      </c>
      <c r="AE41" s="228" t="s">
        <v>75</v>
      </c>
      <c r="AF41">
        <v>0</v>
      </c>
      <c r="AG41">
        <v>1</v>
      </c>
      <c r="AH41" s="225">
        <f t="shared" si="2"/>
        <v>3.6310794139972204E-6</v>
      </c>
    </row>
    <row r="42" spans="11:34" ht="15.75" x14ac:dyDescent="0.25">
      <c r="Q42" s="128" t="s">
        <v>9</v>
      </c>
      <c r="R42">
        <v>24935.747230000001</v>
      </c>
      <c r="S42">
        <v>270442.74369069049</v>
      </c>
      <c r="T42" s="225">
        <f t="shared" si="1"/>
        <v>1</v>
      </c>
      <c r="AE42" s="228" t="s">
        <v>9</v>
      </c>
      <c r="AF42">
        <v>24928.685899999993</v>
      </c>
      <c r="AG42">
        <v>275400.20087282109</v>
      </c>
      <c r="AH42" s="225">
        <f t="shared" si="2"/>
        <v>1</v>
      </c>
    </row>
    <row r="61" spans="11:14" x14ac:dyDescent="0.2">
      <c r="K61" s="147"/>
      <c r="L61" s="147"/>
      <c r="M61" s="147"/>
      <c r="N61" s="147"/>
    </row>
    <row r="62" spans="11:14" s="147" customFormat="1" x14ac:dyDescent="0.2">
      <c r="K62"/>
      <c r="L62"/>
      <c r="M62"/>
      <c r="N62"/>
    </row>
  </sheetData>
  <pageMargins left="0.7" right="0.7" top="0.75" bottom="0.75" header="0.3" footer="0.3"/>
  <pageSetup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C9" sqref="C9"/>
    </sheetView>
  </sheetViews>
  <sheetFormatPr defaultRowHeight="12.75" x14ac:dyDescent="0.2"/>
  <cols>
    <col min="1" max="1" width="28.28515625" customWidth="1"/>
    <col min="3" max="3" width="11.42578125" customWidth="1"/>
    <col min="4" max="4" width="10.5703125" bestFit="1" customWidth="1"/>
  </cols>
  <sheetData>
    <row r="1" spans="1:4" ht="15.75" x14ac:dyDescent="0.25">
      <c r="A1" s="58" t="s">
        <v>245</v>
      </c>
      <c r="B1" s="146" t="s">
        <v>58</v>
      </c>
      <c r="C1" s="146"/>
      <c r="D1" s="137" t="s">
        <v>257</v>
      </c>
    </row>
    <row r="2" spans="1:4" ht="15.75" x14ac:dyDescent="0.25">
      <c r="A2" s="136"/>
      <c r="B2" s="146" t="s">
        <v>48</v>
      </c>
      <c r="C2" s="146" t="s">
        <v>10</v>
      </c>
      <c r="D2" s="148" t="s">
        <v>204</v>
      </c>
    </row>
    <row r="3" spans="1:4" ht="15.75" x14ac:dyDescent="0.25">
      <c r="A3" s="136"/>
      <c r="B3" s="146"/>
      <c r="C3" s="146"/>
    </row>
    <row r="4" spans="1:4" ht="15.75" x14ac:dyDescent="0.25">
      <c r="A4" s="1" t="s">
        <v>12</v>
      </c>
      <c r="B4" s="67">
        <v>973.80200000000002</v>
      </c>
      <c r="C4" s="67">
        <v>14219.305999999999</v>
      </c>
      <c r="D4" s="150">
        <f>C4/$C$39*100</f>
        <v>16.377468430628294</v>
      </c>
    </row>
    <row r="5" spans="1:4" ht="15.75" x14ac:dyDescent="0.25">
      <c r="A5" s="1" t="s">
        <v>28</v>
      </c>
      <c r="B5" s="67">
        <v>1565</v>
      </c>
      <c r="C5" s="67">
        <v>11132</v>
      </c>
      <c r="D5" s="150">
        <f t="shared" ref="D5:D37" si="0">C5/$C$39*100</f>
        <v>12.821580643229296</v>
      </c>
    </row>
    <row r="6" spans="1:4" ht="15.75" x14ac:dyDescent="0.25">
      <c r="A6" s="1" t="s">
        <v>20</v>
      </c>
      <c r="B6" s="67">
        <v>381.5</v>
      </c>
      <c r="C6" s="67">
        <v>8413.17</v>
      </c>
      <c r="D6" s="150">
        <f t="shared" si="0"/>
        <v>9.6900950072042225</v>
      </c>
    </row>
    <row r="7" spans="1:4" ht="15.75" x14ac:dyDescent="0.25">
      <c r="A7" s="1" t="s">
        <v>57</v>
      </c>
      <c r="B7" s="67">
        <v>328.54100000000005</v>
      </c>
      <c r="C7" s="67">
        <v>7370.04</v>
      </c>
      <c r="D7" s="150">
        <f t="shared" si="0"/>
        <v>8.4886419514755342</v>
      </c>
    </row>
    <row r="8" spans="1:4" ht="15.75" x14ac:dyDescent="0.25">
      <c r="A8" s="1" t="s">
        <v>38</v>
      </c>
      <c r="B8" s="67">
        <v>378.96499999999997</v>
      </c>
      <c r="C8" s="67">
        <v>6887.4539999999997</v>
      </c>
      <c r="D8" s="150">
        <f t="shared" si="0"/>
        <v>7.9328105360700851</v>
      </c>
    </row>
    <row r="9" spans="1:4" ht="15.75" x14ac:dyDescent="0.25">
      <c r="A9" s="1" t="s">
        <v>25</v>
      </c>
      <c r="B9" s="67">
        <v>396</v>
      </c>
      <c r="C9" s="67">
        <v>6651.5999999999995</v>
      </c>
      <c r="D9" s="150">
        <f t="shared" si="0"/>
        <v>7.6611593430204792</v>
      </c>
    </row>
    <row r="10" spans="1:4" ht="15.75" x14ac:dyDescent="0.25">
      <c r="A10" s="1" t="s">
        <v>27</v>
      </c>
      <c r="B10" s="67">
        <v>203.78900000000002</v>
      </c>
      <c r="C10" s="67">
        <v>5691.9000000000005</v>
      </c>
      <c r="D10" s="150">
        <f t="shared" si="0"/>
        <v>6.5557990355009741</v>
      </c>
    </row>
    <row r="11" spans="1:4" ht="15.75" x14ac:dyDescent="0.25">
      <c r="A11" s="1" t="s">
        <v>15</v>
      </c>
      <c r="B11" s="67">
        <v>306.68</v>
      </c>
      <c r="C11" s="67">
        <v>4487.1089999999995</v>
      </c>
      <c r="D11" s="150">
        <f t="shared" si="0"/>
        <v>5.1681485715468876</v>
      </c>
    </row>
    <row r="12" spans="1:4" ht="15.75" x14ac:dyDescent="0.25">
      <c r="A12" s="1" t="s">
        <v>40</v>
      </c>
      <c r="B12" s="67">
        <v>223.49999999999997</v>
      </c>
      <c r="C12" s="67">
        <v>2909.71</v>
      </c>
      <c r="D12" s="150">
        <f t="shared" si="0"/>
        <v>3.3513368139966504</v>
      </c>
    </row>
    <row r="13" spans="1:4" ht="15.75" x14ac:dyDescent="0.25">
      <c r="A13" s="1" t="s">
        <v>26</v>
      </c>
      <c r="B13" s="67">
        <v>314.55700000000002</v>
      </c>
      <c r="C13" s="67">
        <v>2584.0119999999997</v>
      </c>
      <c r="D13" s="150">
        <f t="shared" si="0"/>
        <v>2.9762053755903897</v>
      </c>
    </row>
    <row r="14" spans="1:4" ht="15.75" x14ac:dyDescent="0.25">
      <c r="A14" s="1" t="s">
        <v>14</v>
      </c>
      <c r="B14" s="67">
        <v>153.96199999999999</v>
      </c>
      <c r="C14" s="67">
        <v>2210.2399999999998</v>
      </c>
      <c r="D14" s="150">
        <f t="shared" si="0"/>
        <v>2.545703413662515</v>
      </c>
    </row>
    <row r="15" spans="1:4" ht="15.75" x14ac:dyDescent="0.25">
      <c r="A15" s="1" t="s">
        <v>189</v>
      </c>
      <c r="B15" s="67">
        <v>325.86</v>
      </c>
      <c r="C15" s="67">
        <v>2148.27</v>
      </c>
      <c r="D15" s="150">
        <f t="shared" si="0"/>
        <v>2.474327798098293</v>
      </c>
    </row>
    <row r="16" spans="1:4" ht="15.75" x14ac:dyDescent="0.25">
      <c r="A16" s="1" t="s">
        <v>23</v>
      </c>
      <c r="B16" s="67">
        <v>355.53400000000005</v>
      </c>
      <c r="C16" s="67">
        <v>2072.6769999999997</v>
      </c>
      <c r="D16" s="150">
        <f t="shared" si="0"/>
        <v>2.3872615255898815</v>
      </c>
    </row>
    <row r="17" spans="1:4" ht="15.75" x14ac:dyDescent="0.25">
      <c r="A17" s="1" t="s">
        <v>55</v>
      </c>
      <c r="B17" s="67">
        <v>212.87999999999997</v>
      </c>
      <c r="C17" s="67">
        <v>1930.1799999999998</v>
      </c>
      <c r="D17" s="150">
        <f t="shared" si="0"/>
        <v>2.223136770207359</v>
      </c>
    </row>
    <row r="18" spans="1:4" ht="15.75" x14ac:dyDescent="0.25">
      <c r="A18" s="1" t="s">
        <v>33</v>
      </c>
      <c r="B18" s="67">
        <v>76.949999999999989</v>
      </c>
      <c r="C18" s="67">
        <v>1528.6100000000001</v>
      </c>
      <c r="D18" s="150">
        <f t="shared" si="0"/>
        <v>1.7606177135327645</v>
      </c>
    </row>
    <row r="19" spans="1:4" ht="15.75" x14ac:dyDescent="0.25">
      <c r="A19" s="1" t="s">
        <v>24</v>
      </c>
      <c r="B19" s="67">
        <v>93.169999999999987</v>
      </c>
      <c r="C19" s="67">
        <v>890.03499999999997</v>
      </c>
      <c r="D19" s="150">
        <f t="shared" si="0"/>
        <v>1.0251217685767684</v>
      </c>
    </row>
    <row r="20" spans="1:4" ht="15.75" x14ac:dyDescent="0.25">
      <c r="A20" s="1" t="s">
        <v>22</v>
      </c>
      <c r="B20" s="67">
        <v>218.02999999999997</v>
      </c>
      <c r="C20" s="67">
        <v>866.34400000000005</v>
      </c>
      <c r="D20" s="150">
        <f t="shared" si="0"/>
        <v>0.99783502162934268</v>
      </c>
    </row>
    <row r="21" spans="1:4" ht="15.75" x14ac:dyDescent="0.25">
      <c r="A21" s="1" t="s">
        <v>90</v>
      </c>
      <c r="B21" s="67">
        <v>200.851</v>
      </c>
      <c r="C21" s="67">
        <v>805.66800000000001</v>
      </c>
      <c r="D21" s="150">
        <f t="shared" si="0"/>
        <v>0.92794980539608884</v>
      </c>
    </row>
    <row r="22" spans="1:4" ht="15.75" x14ac:dyDescent="0.25">
      <c r="A22" s="1" t="s">
        <v>34</v>
      </c>
      <c r="B22" s="67">
        <v>57.120000000000005</v>
      </c>
      <c r="C22" s="67">
        <v>778.45</v>
      </c>
      <c r="D22" s="150">
        <f t="shared" si="0"/>
        <v>0.89660074126139477</v>
      </c>
    </row>
    <row r="23" spans="1:4" ht="15.75" x14ac:dyDescent="0.25">
      <c r="A23" s="1" t="s">
        <v>37</v>
      </c>
      <c r="B23" s="67">
        <v>60.570000000000014</v>
      </c>
      <c r="C23" s="67">
        <v>638.78009999999995</v>
      </c>
      <c r="D23" s="150">
        <f t="shared" si="0"/>
        <v>0.73573217440173144</v>
      </c>
    </row>
    <row r="24" spans="1:4" ht="15.75" x14ac:dyDescent="0.25">
      <c r="A24" s="1" t="s">
        <v>21</v>
      </c>
      <c r="B24" s="67">
        <v>50.53</v>
      </c>
      <c r="C24" s="67">
        <v>552.47</v>
      </c>
      <c r="D24" s="150">
        <f t="shared" si="0"/>
        <v>0.63632219349307306</v>
      </c>
    </row>
    <row r="25" spans="1:4" ht="15.75" x14ac:dyDescent="0.25">
      <c r="A25" s="1" t="s">
        <v>29</v>
      </c>
      <c r="B25" s="67">
        <v>54.05</v>
      </c>
      <c r="C25" s="67">
        <v>515.69000000000005</v>
      </c>
      <c r="D25" s="150">
        <f t="shared" si="0"/>
        <v>0.59395983847528888</v>
      </c>
    </row>
    <row r="26" spans="1:4" ht="15.75" x14ac:dyDescent="0.25">
      <c r="A26" s="1" t="s">
        <v>32</v>
      </c>
      <c r="B26" s="67">
        <v>40.160000000000004</v>
      </c>
      <c r="C26" s="67">
        <v>375.74</v>
      </c>
      <c r="D26" s="150">
        <f t="shared" si="0"/>
        <v>0.43276865890109378</v>
      </c>
    </row>
    <row r="27" spans="1:4" ht="15.75" x14ac:dyDescent="0.25">
      <c r="A27" s="1" t="s">
        <v>30</v>
      </c>
      <c r="B27" s="67">
        <v>35.296999999999997</v>
      </c>
      <c r="C27" s="67">
        <v>348.30199999999996</v>
      </c>
      <c r="D27" s="150">
        <f t="shared" si="0"/>
        <v>0.40116620384459661</v>
      </c>
    </row>
    <row r="28" spans="1:4" ht="15.75" x14ac:dyDescent="0.25">
      <c r="A28" s="1" t="s">
        <v>31</v>
      </c>
      <c r="B28" s="67">
        <v>57.893000000000001</v>
      </c>
      <c r="C28" s="67">
        <v>344.42999999999995</v>
      </c>
      <c r="D28" s="150">
        <f t="shared" si="0"/>
        <v>0.39670652362086467</v>
      </c>
    </row>
    <row r="29" spans="1:4" ht="15.75" x14ac:dyDescent="0.25">
      <c r="A29" s="1" t="s">
        <v>13</v>
      </c>
      <c r="B29" s="67">
        <v>89.080999999999989</v>
      </c>
      <c r="C29" s="67">
        <v>322.15699999999998</v>
      </c>
      <c r="D29" s="150">
        <f t="shared" si="0"/>
        <v>0.37105299634215055</v>
      </c>
    </row>
    <row r="30" spans="1:4" ht="15.75" x14ac:dyDescent="0.25">
      <c r="A30" s="1" t="s">
        <v>19</v>
      </c>
      <c r="B30" s="67">
        <v>11.276999999999999</v>
      </c>
      <c r="C30" s="67">
        <v>81.191000000000003</v>
      </c>
      <c r="D30" s="150">
        <f t="shared" si="0"/>
        <v>9.3513919691378886E-2</v>
      </c>
    </row>
    <row r="31" spans="1:4" ht="15.75" x14ac:dyDescent="0.25">
      <c r="A31" s="1" t="s">
        <v>54</v>
      </c>
      <c r="B31" s="67">
        <v>3.5500000000000003</v>
      </c>
      <c r="C31" s="67">
        <v>29.73</v>
      </c>
      <c r="D31" s="150">
        <f t="shared" si="0"/>
        <v>3.4242327750916901E-2</v>
      </c>
    </row>
    <row r="32" spans="1:4" ht="15.75" x14ac:dyDescent="0.25">
      <c r="A32" s="1" t="s">
        <v>35</v>
      </c>
      <c r="B32" s="67">
        <v>16.024000000000001</v>
      </c>
      <c r="C32" s="67">
        <v>24.041</v>
      </c>
      <c r="D32" s="150">
        <f t="shared" si="0"/>
        <v>2.7689868868476061E-2</v>
      </c>
    </row>
    <row r="33" spans="1:4" ht="15.75" x14ac:dyDescent="0.25">
      <c r="A33" s="1" t="s">
        <v>167</v>
      </c>
      <c r="B33" s="67">
        <v>0.64100000000000013</v>
      </c>
      <c r="C33" s="67">
        <v>12.578999999999999</v>
      </c>
      <c r="D33" s="150">
        <f t="shared" si="0"/>
        <v>1.4488201842542337E-2</v>
      </c>
    </row>
    <row r="34" spans="1:4" ht="15.75" x14ac:dyDescent="0.25">
      <c r="A34" s="1" t="s">
        <v>56</v>
      </c>
      <c r="B34" s="67">
        <v>0.22200000000000003</v>
      </c>
      <c r="C34" s="67">
        <v>0.48344999999999999</v>
      </c>
      <c r="D34" s="150">
        <f t="shared" si="0"/>
        <v>5.5682655066198374E-4</v>
      </c>
    </row>
    <row r="35" spans="1:4" ht="15.75" x14ac:dyDescent="0.25">
      <c r="A35" s="1" t="s">
        <v>16</v>
      </c>
      <c r="B35" s="67">
        <v>0</v>
      </c>
      <c r="C35" s="67">
        <v>0</v>
      </c>
      <c r="D35" s="150">
        <f t="shared" si="0"/>
        <v>0</v>
      </c>
    </row>
    <row r="36" spans="1:4" ht="15.75" x14ac:dyDescent="0.25">
      <c r="A36" s="1" t="s">
        <v>17</v>
      </c>
      <c r="B36" s="67">
        <v>0</v>
      </c>
      <c r="C36" s="67">
        <v>0</v>
      </c>
      <c r="D36" s="150">
        <f t="shared" si="0"/>
        <v>0</v>
      </c>
    </row>
    <row r="37" spans="1:4" ht="15.75" x14ac:dyDescent="0.25">
      <c r="A37" s="1" t="s">
        <v>18</v>
      </c>
      <c r="B37" s="67">
        <v>0</v>
      </c>
      <c r="C37" s="67">
        <v>0</v>
      </c>
      <c r="D37" s="150">
        <f t="shared" si="0"/>
        <v>0</v>
      </c>
    </row>
    <row r="38" spans="1:4" ht="15.75" x14ac:dyDescent="0.25">
      <c r="A38" s="1"/>
      <c r="B38" s="67"/>
      <c r="C38" s="67"/>
    </row>
    <row r="39" spans="1:4" ht="15.75" x14ac:dyDescent="0.25">
      <c r="A39" s="1" t="s">
        <v>9</v>
      </c>
      <c r="B39" s="68">
        <v>7185.9859999999999</v>
      </c>
      <c r="C39" s="68">
        <v>86822.368549999999</v>
      </c>
    </row>
  </sheetData>
  <pageMargins left="0.7" right="0.7" top="0.75" bottom="0.75" header="0.3" footer="0.3"/>
  <pageSetup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9" sqref="C9"/>
    </sheetView>
  </sheetViews>
  <sheetFormatPr defaultRowHeight="12.75" x14ac:dyDescent="0.2"/>
  <cols>
    <col min="1" max="1" width="24.5703125" customWidth="1"/>
    <col min="3" max="3" width="9.7109375" customWidth="1"/>
    <col min="4" max="4" width="10.42578125" customWidth="1"/>
  </cols>
  <sheetData>
    <row r="1" spans="1:4" x14ac:dyDescent="0.2">
      <c r="A1" s="323" t="s">
        <v>258</v>
      </c>
      <c r="B1" s="323"/>
      <c r="C1" s="323"/>
      <c r="D1" s="323"/>
    </row>
    <row r="3" spans="1:4" x14ac:dyDescent="0.2">
      <c r="A3" s="151" t="s">
        <v>245</v>
      </c>
      <c r="B3" s="324" t="s">
        <v>259</v>
      </c>
      <c r="C3" s="325"/>
      <c r="D3" s="139" t="s">
        <v>257</v>
      </c>
    </row>
    <row r="4" spans="1:4" x14ac:dyDescent="0.2">
      <c r="A4" s="152"/>
      <c r="B4" s="153" t="s">
        <v>48</v>
      </c>
      <c r="C4" s="153" t="s">
        <v>10</v>
      </c>
      <c r="D4" s="139" t="s">
        <v>204</v>
      </c>
    </row>
    <row r="5" spans="1:4" x14ac:dyDescent="0.2">
      <c r="A5" s="152"/>
      <c r="B5" s="153"/>
      <c r="C5" s="153"/>
      <c r="D5" s="153"/>
    </row>
    <row r="6" spans="1:4" ht="15.75" x14ac:dyDescent="0.25">
      <c r="A6" s="1" t="s">
        <v>40</v>
      </c>
      <c r="B6">
        <v>1383.05</v>
      </c>
      <c r="C6">
        <v>25014.950000000004</v>
      </c>
      <c r="D6" s="141">
        <f>(C6/165402)*100</f>
        <v>15.123728854548316</v>
      </c>
    </row>
    <row r="7" spans="1:4" ht="15.75" x14ac:dyDescent="0.25">
      <c r="A7" s="1" t="s">
        <v>38</v>
      </c>
      <c r="B7">
        <v>897.24599999999998</v>
      </c>
      <c r="C7">
        <v>19430.770000000004</v>
      </c>
      <c r="D7" s="141">
        <f>(C7/165402)*100</f>
        <v>11.747602810123217</v>
      </c>
    </row>
    <row r="8" spans="1:4" ht="15.75" x14ac:dyDescent="0.25">
      <c r="A8" s="1" t="s">
        <v>15</v>
      </c>
      <c r="B8">
        <v>870.74199999999996</v>
      </c>
      <c r="C8">
        <v>16257.857999999997</v>
      </c>
      <c r="D8" s="141">
        <f>(C8/165402)*100</f>
        <v>9.8292995247941359</v>
      </c>
    </row>
    <row r="9" spans="1:4" ht="15.75" x14ac:dyDescent="0.25">
      <c r="A9" s="1" t="s">
        <v>27</v>
      </c>
      <c r="B9">
        <v>628.43200000000013</v>
      </c>
      <c r="C9">
        <v>12930.5</v>
      </c>
      <c r="D9" s="141">
        <f>(C9/165402)*100</f>
        <v>7.8176201013288829</v>
      </c>
    </row>
    <row r="10" spans="1:4" ht="15.75" x14ac:dyDescent="0.25">
      <c r="A10" s="1" t="s">
        <v>12</v>
      </c>
      <c r="B10">
        <v>710.30799999999999</v>
      </c>
      <c r="C10">
        <v>12422.057999999999</v>
      </c>
      <c r="D10" s="141">
        <f>(C10/165402)*100</f>
        <v>7.510222367323248</v>
      </c>
    </row>
    <row r="11" spans="1:4" x14ac:dyDescent="0.2">
      <c r="A11" s="154"/>
      <c r="B11" s="141"/>
      <c r="C11" s="141"/>
      <c r="D11" s="153"/>
    </row>
    <row r="12" spans="1:4" ht="15.75" x14ac:dyDescent="0.25">
      <c r="A12" s="1" t="s">
        <v>260</v>
      </c>
      <c r="B12">
        <v>9577.2781999999988</v>
      </c>
      <c r="C12">
        <v>168142.03659</v>
      </c>
      <c r="D12" s="153"/>
    </row>
  </sheetData>
  <mergeCells count="2">
    <mergeCell ref="A1:D1"/>
    <mergeCell ref="B3:C3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A8" workbookViewId="0">
      <selection activeCell="O15" sqref="O15"/>
    </sheetView>
  </sheetViews>
  <sheetFormatPr defaultRowHeight="12.75" x14ac:dyDescent="0.2"/>
  <cols>
    <col min="1" max="1" width="10.42578125" customWidth="1"/>
    <col min="2" max="11" width="6.85546875" customWidth="1"/>
    <col min="12" max="12" width="8.42578125" customWidth="1"/>
    <col min="13" max="13" width="8.7109375" customWidth="1"/>
    <col min="14" max="14" width="6.85546875" customWidth="1"/>
    <col min="15" max="15" width="12" customWidth="1"/>
  </cols>
  <sheetData>
    <row r="1" spans="1:22" x14ac:dyDescent="0.2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179"/>
      <c r="M1" s="179"/>
    </row>
    <row r="2" spans="1:22" x14ac:dyDescent="0.2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180"/>
      <c r="M2" s="180"/>
      <c r="O2" s="339" t="s">
        <v>261</v>
      </c>
      <c r="P2" s="339"/>
      <c r="Q2" s="339"/>
      <c r="R2" s="339"/>
      <c r="S2" s="339"/>
      <c r="T2" s="339"/>
      <c r="U2" s="339"/>
    </row>
    <row r="3" spans="1:22" ht="34.5" customHeight="1" x14ac:dyDescent="0.2">
      <c r="D3" s="155"/>
      <c r="E3" s="155"/>
      <c r="F3" s="155"/>
      <c r="G3" s="155"/>
      <c r="H3" s="155"/>
      <c r="I3" s="155"/>
      <c r="J3" s="155"/>
      <c r="K3" s="155"/>
      <c r="O3" s="340" t="s">
        <v>262</v>
      </c>
      <c r="P3" s="341" t="s">
        <v>263</v>
      </c>
      <c r="Q3" s="334" t="s">
        <v>264</v>
      </c>
      <c r="R3" s="334"/>
      <c r="S3" s="334"/>
      <c r="T3" s="334" t="s">
        <v>265</v>
      </c>
      <c r="U3" s="334"/>
      <c r="V3" s="334"/>
    </row>
    <row r="4" spans="1:22" x14ac:dyDescent="0.2">
      <c r="D4" s="155"/>
      <c r="E4" s="155"/>
      <c r="F4" s="155"/>
      <c r="G4" s="155"/>
      <c r="H4" s="155"/>
      <c r="I4" s="155"/>
      <c r="J4" s="155"/>
      <c r="K4" s="155"/>
      <c r="O4" s="340"/>
      <c r="P4" s="341"/>
      <c r="Q4" s="334" t="s">
        <v>266</v>
      </c>
      <c r="R4" s="156" t="s">
        <v>267</v>
      </c>
      <c r="S4" s="156" t="s">
        <v>268</v>
      </c>
      <c r="T4" s="157" t="s">
        <v>206</v>
      </c>
      <c r="U4" s="157" t="s">
        <v>264</v>
      </c>
      <c r="V4" s="157" t="s">
        <v>264</v>
      </c>
    </row>
    <row r="5" spans="1:22" x14ac:dyDescent="0.2">
      <c r="D5" s="155"/>
      <c r="E5" s="155"/>
      <c r="F5" s="155"/>
      <c r="G5" s="155"/>
      <c r="H5" s="155"/>
      <c r="I5" s="155"/>
      <c r="J5" s="155"/>
      <c r="K5" s="155"/>
      <c r="O5" s="340"/>
      <c r="P5" s="341"/>
      <c r="Q5" s="334"/>
      <c r="R5" s="156" t="s">
        <v>269</v>
      </c>
      <c r="S5" s="156" t="s">
        <v>269</v>
      </c>
      <c r="T5" s="157" t="s">
        <v>223</v>
      </c>
      <c r="U5" s="157" t="s">
        <v>270</v>
      </c>
      <c r="V5" s="157" t="s">
        <v>271</v>
      </c>
    </row>
    <row r="6" spans="1:22" ht="15" x14ac:dyDescent="0.25">
      <c r="D6" s="155"/>
      <c r="E6" s="155"/>
      <c r="F6" s="155"/>
      <c r="G6" s="155"/>
      <c r="H6" s="155"/>
      <c r="I6" s="155"/>
      <c r="J6" s="155"/>
      <c r="K6" s="155"/>
      <c r="O6" s="158" t="s">
        <v>272</v>
      </c>
      <c r="P6" s="159">
        <v>23694</v>
      </c>
      <c r="Q6" s="159">
        <v>24093</v>
      </c>
      <c r="R6" s="160">
        <v>24303.358790000002</v>
      </c>
      <c r="S6" s="160">
        <f>[4]Summary!J93</f>
        <v>24457.957539999999</v>
      </c>
      <c r="T6" s="161">
        <f>(S6/P6)-1</f>
        <v>3.2242658056891971E-2</v>
      </c>
      <c r="U6" s="161">
        <f>(S6/Q6)-1</f>
        <v>1.5147866185198922E-2</v>
      </c>
      <c r="V6" s="162">
        <f>(S6/R6)-1</f>
        <v>6.361209219509556E-3</v>
      </c>
    </row>
    <row r="7" spans="1:22" ht="15" x14ac:dyDescent="0.25">
      <c r="D7" s="155"/>
      <c r="E7" s="155"/>
      <c r="F7" s="155"/>
      <c r="G7" s="155"/>
      <c r="H7" s="155"/>
      <c r="I7" s="155"/>
      <c r="J7" s="155"/>
      <c r="K7" s="155"/>
      <c r="O7" s="158" t="s">
        <v>204</v>
      </c>
      <c r="P7" s="159">
        <v>268847</v>
      </c>
      <c r="Q7" s="159">
        <v>279290</v>
      </c>
      <c r="R7" s="160">
        <v>280707.24532000005</v>
      </c>
      <c r="S7" s="160">
        <f>[4]Summary!K93</f>
        <v>280792.12917437422</v>
      </c>
      <c r="T7" s="161">
        <f>(S7/P7)-1</f>
        <v>4.4430955801531002E-2</v>
      </c>
      <c r="U7" s="161">
        <f>(S7/Q7)-1</f>
        <v>5.3783850992668025E-3</v>
      </c>
      <c r="V7" s="162">
        <f>(S7/R7)-1</f>
        <v>3.0239281596533552E-4</v>
      </c>
    </row>
    <row r="8" spans="1:22" ht="18.75" x14ac:dyDescent="0.3">
      <c r="A8" s="343" t="s">
        <v>297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</row>
    <row r="9" spans="1:22" x14ac:dyDescent="0.2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22" x14ac:dyDescent="0.2">
      <c r="A10" s="344" t="s">
        <v>273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163"/>
    </row>
    <row r="11" spans="1:22" ht="12.75" customHeight="1" x14ac:dyDescent="0.2">
      <c r="A11" s="335" t="s">
        <v>274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164"/>
    </row>
    <row r="12" spans="1:22" ht="36" customHeight="1" x14ac:dyDescent="0.2">
      <c r="A12" s="338" t="s">
        <v>275</v>
      </c>
      <c r="B12" s="338" t="s">
        <v>206</v>
      </c>
      <c r="C12" s="338"/>
      <c r="D12" s="342" t="s">
        <v>264</v>
      </c>
      <c r="E12" s="342"/>
      <c r="F12" s="342"/>
      <c r="G12" s="337"/>
      <c r="H12" s="336" t="s">
        <v>289</v>
      </c>
      <c r="I12" s="337"/>
      <c r="J12" s="330" t="s">
        <v>292</v>
      </c>
      <c r="K12" s="331"/>
      <c r="L12" s="330" t="s">
        <v>293</v>
      </c>
      <c r="M12" s="331"/>
      <c r="N12" s="222"/>
      <c r="O12" s="222"/>
    </row>
    <row r="13" spans="1:22" ht="25.5" customHeight="1" x14ac:dyDescent="0.2">
      <c r="A13" s="338"/>
      <c r="B13" s="338" t="s">
        <v>276</v>
      </c>
      <c r="C13" s="338"/>
      <c r="D13" s="345" t="s">
        <v>277</v>
      </c>
      <c r="E13" s="345"/>
      <c r="F13" s="326" t="s">
        <v>205</v>
      </c>
      <c r="G13" s="327"/>
      <c r="H13" s="326" t="s">
        <v>291</v>
      </c>
      <c r="I13" s="327"/>
      <c r="J13" s="332"/>
      <c r="K13" s="333"/>
      <c r="L13" s="332"/>
      <c r="M13" s="333"/>
      <c r="N13" s="166"/>
    </row>
    <row r="14" spans="1:22" ht="17.25" customHeight="1" x14ac:dyDescent="0.2">
      <c r="A14" s="338"/>
      <c r="B14" s="219" t="s">
        <v>272</v>
      </c>
      <c r="C14" s="219" t="s">
        <v>278</v>
      </c>
      <c r="D14" s="219" t="s">
        <v>272</v>
      </c>
      <c r="E14" s="219" t="s">
        <v>278</v>
      </c>
      <c r="F14" s="219" t="s">
        <v>272</v>
      </c>
      <c r="G14" s="219" t="s">
        <v>278</v>
      </c>
      <c r="H14" s="219" t="s">
        <v>272</v>
      </c>
      <c r="I14" s="219" t="s">
        <v>278</v>
      </c>
      <c r="J14" s="219" t="s">
        <v>272</v>
      </c>
      <c r="K14" s="219" t="s">
        <v>278</v>
      </c>
      <c r="L14" s="219" t="s">
        <v>272</v>
      </c>
      <c r="M14" s="219" t="s">
        <v>278</v>
      </c>
      <c r="N14" s="165"/>
    </row>
    <row r="15" spans="1:22" ht="27" customHeight="1" x14ac:dyDescent="0.2">
      <c r="A15" s="168" t="s">
        <v>65</v>
      </c>
      <c r="B15" s="169">
        <v>6982</v>
      </c>
      <c r="C15" s="169">
        <v>81285</v>
      </c>
      <c r="D15" s="170">
        <f>[4]Summary!J36</f>
        <v>7185.9950000000008</v>
      </c>
      <c r="E15" s="170">
        <f>[4]Summary!K36</f>
        <v>86822.188549999992</v>
      </c>
      <c r="F15" s="223">
        <f>Summary!D38</f>
        <v>7216.3120000000008</v>
      </c>
      <c r="G15" s="223">
        <f>Summary!E38</f>
        <v>88977.134450000012</v>
      </c>
      <c r="H15" s="223" t="e">
        <f>Summary!#REF!</f>
        <v>#REF!</v>
      </c>
      <c r="I15" s="223" t="e">
        <f>Summary!#REF!</f>
        <v>#REF!</v>
      </c>
      <c r="J15" s="172">
        <f>F15-B15</f>
        <v>234.31200000000081</v>
      </c>
      <c r="K15" s="172">
        <f>G15-C15</f>
        <v>7692.1344500000123</v>
      </c>
      <c r="L15" s="140" t="e">
        <f>H15-F15</f>
        <v>#REF!</v>
      </c>
      <c r="M15" s="140" t="e">
        <f>I15-G15</f>
        <v>#REF!</v>
      </c>
      <c r="N15" s="171"/>
    </row>
    <row r="16" spans="1:22" ht="27" customHeight="1" x14ac:dyDescent="0.2">
      <c r="A16" s="168" t="s">
        <v>76</v>
      </c>
      <c r="B16" s="169">
        <v>9205</v>
      </c>
      <c r="C16" s="169">
        <v>162187</v>
      </c>
      <c r="D16" s="170">
        <f>[4]Summary!J59</f>
        <v>9567.2281999999996</v>
      </c>
      <c r="E16" s="170">
        <f>[4]Summary!K59</f>
        <v>168142.36658999999</v>
      </c>
      <c r="F16" s="170">
        <f>Summary!D65</f>
        <v>9396.0571999999993</v>
      </c>
      <c r="G16" s="170">
        <f>Summary!E65</f>
        <v>162896.91059000001</v>
      </c>
      <c r="H16" s="170" t="e">
        <f>Summary!#REF!</f>
        <v>#REF!</v>
      </c>
      <c r="I16" s="170" t="e">
        <f>Summary!#REF!</f>
        <v>#REF!</v>
      </c>
      <c r="J16" s="172">
        <f t="shared" ref="J16:J21" si="0">F16-B16</f>
        <v>191.05719999999928</v>
      </c>
      <c r="K16" s="172">
        <f t="shared" ref="K16:K21" si="1">G16-C16</f>
        <v>709.91059000001405</v>
      </c>
      <c r="L16" s="140" t="e">
        <f t="shared" ref="L16:L21" si="2">H16-F16</f>
        <v>#REF!</v>
      </c>
      <c r="M16" s="140" t="e">
        <f t="shared" ref="M16:M21" si="3">I16-G16</f>
        <v>#REF!</v>
      </c>
      <c r="N16" s="171"/>
    </row>
    <row r="17" spans="1:14" ht="27" customHeight="1" x14ac:dyDescent="0.2">
      <c r="A17" s="168" t="s">
        <v>279</v>
      </c>
      <c r="B17" s="169">
        <v>233</v>
      </c>
      <c r="C17" s="169">
        <v>1729</v>
      </c>
      <c r="D17" s="170">
        <f>[4]Summary!J65</f>
        <v>240.91433999999995</v>
      </c>
      <c r="E17" s="170">
        <f>[4]Summary!K65</f>
        <v>1823.6597800000004</v>
      </c>
      <c r="F17" s="170">
        <f>Summary!D71</f>
        <v>255.02202999999997</v>
      </c>
      <c r="G17" s="170">
        <f>Summary!E71</f>
        <v>1754.4914969999998</v>
      </c>
      <c r="H17" s="170" t="e">
        <f>Summary!#REF!</f>
        <v>#REF!</v>
      </c>
      <c r="I17" s="170" t="e">
        <f>Summary!#REF!</f>
        <v>#REF!</v>
      </c>
      <c r="J17" s="172">
        <f t="shared" si="0"/>
        <v>22.022029999999972</v>
      </c>
      <c r="K17" s="172">
        <f t="shared" si="1"/>
        <v>25.491496999999754</v>
      </c>
      <c r="L17" s="140" t="e">
        <f t="shared" si="2"/>
        <v>#REF!</v>
      </c>
      <c r="M17" s="140" t="e">
        <f t="shared" si="3"/>
        <v>#REF!</v>
      </c>
      <c r="N17" s="171"/>
    </row>
    <row r="18" spans="1:14" ht="27" customHeight="1" x14ac:dyDescent="0.2">
      <c r="A18" s="168" t="s">
        <v>86</v>
      </c>
      <c r="B18" s="169">
        <v>557</v>
      </c>
      <c r="C18" s="169">
        <v>918</v>
      </c>
      <c r="D18" s="170">
        <f>[4]Summary!J61</f>
        <v>553.60099999999989</v>
      </c>
      <c r="E18" s="170">
        <f>[4]Summary!K61</f>
        <v>931.49717999999996</v>
      </c>
      <c r="F18" s="170">
        <f>Summary!D67</f>
        <v>493.25200000000001</v>
      </c>
      <c r="G18" s="170">
        <f>Summary!E67</f>
        <v>895.30218000000002</v>
      </c>
      <c r="H18" s="170" t="e">
        <f>Summary!#REF!</f>
        <v>#REF!</v>
      </c>
      <c r="I18" s="170" t="e">
        <f>Summary!#REF!</f>
        <v>#REF!</v>
      </c>
      <c r="J18" s="172">
        <f t="shared" si="0"/>
        <v>-63.74799999999999</v>
      </c>
      <c r="K18" s="172">
        <f t="shared" si="1"/>
        <v>-22.697819999999979</v>
      </c>
      <c r="L18" s="140" t="e">
        <f t="shared" si="2"/>
        <v>#REF!</v>
      </c>
      <c r="M18" s="140" t="e">
        <f t="shared" si="3"/>
        <v>#REF!</v>
      </c>
      <c r="N18" s="171"/>
    </row>
    <row r="19" spans="1:14" ht="27" customHeight="1" x14ac:dyDescent="0.2">
      <c r="A19" s="168" t="s">
        <v>88</v>
      </c>
      <c r="B19" s="169">
        <v>3641</v>
      </c>
      <c r="C19" s="169">
        <v>16985</v>
      </c>
      <c r="D19" s="170">
        <f>[4]Summary!J72</f>
        <v>3674.3230000000003</v>
      </c>
      <c r="E19" s="170">
        <f>[4]Summary!K72</f>
        <v>16598.172999999999</v>
      </c>
      <c r="F19" s="170">
        <f>Summary!D81</f>
        <v>3674.5970000000007</v>
      </c>
      <c r="G19" s="170">
        <f>Summary!E81</f>
        <v>16301.223475131428</v>
      </c>
      <c r="H19" s="170" t="e">
        <f>Summary!#REF!</f>
        <v>#REF!</v>
      </c>
      <c r="I19" s="170" t="e">
        <f>Summary!#REF!</f>
        <v>#REF!</v>
      </c>
      <c r="J19" s="172">
        <f t="shared" si="0"/>
        <v>33.597000000000662</v>
      </c>
      <c r="K19" s="172">
        <f t="shared" si="1"/>
        <v>-683.77652486857187</v>
      </c>
      <c r="L19" s="140" t="e">
        <f t="shared" si="2"/>
        <v>#REF!</v>
      </c>
      <c r="M19" s="140" t="e">
        <f t="shared" si="3"/>
        <v>#REF!</v>
      </c>
      <c r="N19" s="171"/>
    </row>
    <row r="20" spans="1:14" ht="27" customHeight="1" x14ac:dyDescent="0.2">
      <c r="A20" s="168" t="s">
        <v>89</v>
      </c>
      <c r="B20" s="169">
        <v>3076</v>
      </c>
      <c r="C20" s="169">
        <v>5744</v>
      </c>
      <c r="D20" s="170">
        <f>[4]Summary!J92</f>
        <v>3235.8959999999997</v>
      </c>
      <c r="E20" s="170">
        <f>[4]Summary!K92</f>
        <v>5931.9</v>
      </c>
      <c r="F20" s="170">
        <f>Summary!D101</f>
        <v>3163.2410000000004</v>
      </c>
      <c r="G20" s="170">
        <f>Summary!E101</f>
        <v>5908.2899999999991</v>
      </c>
      <c r="H20" s="170" t="e">
        <f>Summary!#REF!</f>
        <v>#REF!</v>
      </c>
      <c r="I20" s="170" t="e">
        <f>Summary!#REF!</f>
        <v>#REF!</v>
      </c>
      <c r="J20" s="172">
        <f t="shared" si="0"/>
        <v>87.24100000000044</v>
      </c>
      <c r="K20" s="172">
        <f t="shared" si="1"/>
        <v>164.28999999999905</v>
      </c>
      <c r="L20" s="140" t="e">
        <f t="shared" si="2"/>
        <v>#REF!</v>
      </c>
      <c r="M20" s="140" t="e">
        <f t="shared" si="3"/>
        <v>#REF!</v>
      </c>
      <c r="N20" s="171"/>
    </row>
    <row r="21" spans="1:14" ht="27" customHeight="1" x14ac:dyDescent="0.2">
      <c r="A21" s="173" t="s">
        <v>9</v>
      </c>
      <c r="B21" s="167">
        <f>SUM(B15:B20)</f>
        <v>23694</v>
      </c>
      <c r="C21" s="178">
        <v>268847</v>
      </c>
      <c r="D21" s="174">
        <f>SUM(D15:D20)</f>
        <v>24457.957539999999</v>
      </c>
      <c r="E21" s="174">
        <f>SUM(E15:E20)</f>
        <v>280249.78509999998</v>
      </c>
      <c r="F21" s="174">
        <f>Summary!D102</f>
        <v>24198.481230000005</v>
      </c>
      <c r="G21" s="174">
        <f>Summary!E102</f>
        <v>277352.03670965583</v>
      </c>
      <c r="H21" s="174" t="e">
        <f>Summary!#REF!</f>
        <v>#REF!</v>
      </c>
      <c r="I21" s="174" t="e">
        <f>Summary!#REF!</f>
        <v>#REF!</v>
      </c>
      <c r="J21" s="175">
        <f t="shared" si="0"/>
        <v>504.48123000000487</v>
      </c>
      <c r="K21" s="175">
        <f t="shared" si="1"/>
        <v>8505.036709655833</v>
      </c>
      <c r="L21" s="176" t="e">
        <f t="shared" si="2"/>
        <v>#REF!</v>
      </c>
      <c r="M21" s="176" t="e">
        <f t="shared" si="3"/>
        <v>#REF!</v>
      </c>
      <c r="N21" s="177"/>
    </row>
  </sheetData>
  <mergeCells count="21">
    <mergeCell ref="D13:E13"/>
    <mergeCell ref="B13:C13"/>
    <mergeCell ref="O2:U2"/>
    <mergeCell ref="O3:O5"/>
    <mergeCell ref="P3:P5"/>
    <mergeCell ref="Q3:S3"/>
    <mergeCell ref="T3:V3"/>
    <mergeCell ref="D12:G12"/>
    <mergeCell ref="A8:M8"/>
    <mergeCell ref="L12:M13"/>
    <mergeCell ref="A10:M10"/>
    <mergeCell ref="F13:G13"/>
    <mergeCell ref="A1:K1"/>
    <mergeCell ref="A2:K2"/>
    <mergeCell ref="J12:K13"/>
    <mergeCell ref="Q4:Q5"/>
    <mergeCell ref="A11:M11"/>
    <mergeCell ref="H12:I12"/>
    <mergeCell ref="H13:I13"/>
    <mergeCell ref="A12:A14"/>
    <mergeCell ref="B12:C12"/>
  </mergeCells>
  <pageMargins left="0.25" right="0.2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9" sqref="C9"/>
    </sheetView>
  </sheetViews>
  <sheetFormatPr defaultRowHeight="12.75" x14ac:dyDescent="0.2"/>
  <cols>
    <col min="1" max="1" width="16.85546875" customWidth="1"/>
    <col min="2" max="2" width="21.7109375" customWidth="1"/>
    <col min="3" max="3" width="26.5703125" customWidth="1"/>
    <col min="4" max="4" width="13" customWidth="1"/>
  </cols>
  <sheetData>
    <row r="2" spans="1:4" x14ac:dyDescent="0.2">
      <c r="A2" s="137" t="s">
        <v>247</v>
      </c>
      <c r="B2" s="346" t="s">
        <v>255</v>
      </c>
      <c r="C2" s="346"/>
      <c r="D2" s="346"/>
    </row>
    <row r="3" spans="1:4" ht="25.5" x14ac:dyDescent="0.2">
      <c r="A3" s="137"/>
      <c r="B3" s="138" t="s">
        <v>248</v>
      </c>
      <c r="C3" s="138" t="s">
        <v>249</v>
      </c>
      <c r="D3" s="138" t="s">
        <v>280</v>
      </c>
    </row>
    <row r="4" spans="1:4" ht="32.25" customHeight="1" x14ac:dyDescent="0.2">
      <c r="A4" s="139" t="s">
        <v>250</v>
      </c>
      <c r="B4" s="146">
        <f>[3]Summary!B59/1000</f>
        <v>8.9893515000000015</v>
      </c>
      <c r="C4" s="146">
        <f>[3]Summary!C59/1000</f>
        <v>156.32514900999999</v>
      </c>
      <c r="D4" s="162">
        <f>C4/B4</f>
        <v>17.390036312408071</v>
      </c>
    </row>
    <row r="5" spans="1:4" ht="32.25" customHeight="1" x14ac:dyDescent="0.2">
      <c r="A5" s="139" t="s">
        <v>206</v>
      </c>
      <c r="B5" s="146">
        <f>[3]Summary!D59/1000</f>
        <v>9.2051854999999989</v>
      </c>
      <c r="C5" s="146">
        <f>[3]Summary!E59/1000</f>
        <v>162.18656659000001</v>
      </c>
      <c r="D5" s="162">
        <f>C5/B5</f>
        <v>17.619043808514238</v>
      </c>
    </row>
    <row r="6" spans="1:4" ht="32.25" customHeight="1" x14ac:dyDescent="0.2">
      <c r="A6" s="143" t="s">
        <v>251</v>
      </c>
      <c r="B6" s="146">
        <f>[3]Summary!F59/1000</f>
        <v>9.3903424999999991</v>
      </c>
      <c r="C6" s="146">
        <f>[3]Summary!G59/1000</f>
        <v>168.91852859000002</v>
      </c>
      <c r="D6" s="162">
        <f>C6/B6</f>
        <v>17.988537541628546</v>
      </c>
    </row>
    <row r="7" spans="1:4" ht="32.25" customHeight="1" x14ac:dyDescent="0.2">
      <c r="A7" s="143" t="s">
        <v>252</v>
      </c>
      <c r="B7" s="146">
        <f>[3]Summary!H59/1000</f>
        <v>9.6085901999999983</v>
      </c>
      <c r="C7" s="146">
        <f>[3]Summary!I59/1000</f>
        <v>170.24814859000003</v>
      </c>
      <c r="D7" s="162">
        <f>C7/B7</f>
        <v>17.718327563808483</v>
      </c>
    </row>
    <row r="8" spans="1:4" ht="25.5" x14ac:dyDescent="0.2">
      <c r="A8" s="144" t="s">
        <v>253</v>
      </c>
      <c r="B8" s="146">
        <f>[4]Summary!J59/1000</f>
        <v>9.5672281999999988</v>
      </c>
      <c r="C8" s="146">
        <f>[4]Summary!K59/1000</f>
        <v>168.14236658999999</v>
      </c>
      <c r="D8" s="162">
        <f>C8/B8</f>
        <v>17.57482554769625</v>
      </c>
    </row>
  </sheetData>
  <mergeCells count="1">
    <mergeCell ref="B2:D2"/>
  </mergeCells>
  <pageMargins left="0.7" right="0.7" top="0.75" bottom="0.75" header="0.3" footer="0.3"/>
  <pageSetup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"/>
  <sheetViews>
    <sheetView workbookViewId="0">
      <selection activeCell="K11" sqref="K11"/>
    </sheetView>
  </sheetViews>
  <sheetFormatPr defaultRowHeight="12.75" x14ac:dyDescent="0.2"/>
  <cols>
    <col min="1" max="1" width="10.42578125" customWidth="1"/>
    <col min="3" max="6" width="7.7109375" customWidth="1"/>
    <col min="8" max="8" width="12.7109375" customWidth="1"/>
    <col min="9" max="9" width="12" bestFit="1" customWidth="1"/>
  </cols>
  <sheetData>
    <row r="3" spans="1:9" x14ac:dyDescent="0.2">
      <c r="A3" s="323" t="s">
        <v>295</v>
      </c>
      <c r="B3" s="323"/>
      <c r="C3" s="323"/>
      <c r="D3" s="323"/>
      <c r="E3" s="323"/>
      <c r="F3" s="323"/>
      <c r="G3" s="323"/>
      <c r="H3" s="323"/>
      <c r="I3" s="323"/>
    </row>
    <row r="5" spans="1:9" x14ac:dyDescent="0.2">
      <c r="A5" s="347" t="s">
        <v>261</v>
      </c>
      <c r="B5" s="347"/>
      <c r="C5" s="347"/>
      <c r="D5" s="347"/>
      <c r="E5" s="347"/>
      <c r="F5" s="347"/>
      <c r="G5" s="347"/>
      <c r="H5" s="347"/>
      <c r="I5" s="347"/>
    </row>
    <row r="6" spans="1:9" ht="48.75" customHeight="1" x14ac:dyDescent="0.2">
      <c r="A6" s="348"/>
      <c r="B6" s="349" t="s">
        <v>287</v>
      </c>
      <c r="C6" s="349" t="s">
        <v>288</v>
      </c>
      <c r="D6" s="349"/>
      <c r="E6" s="349"/>
      <c r="F6" s="349"/>
      <c r="G6" s="219" t="s">
        <v>289</v>
      </c>
      <c r="H6" s="350" t="s">
        <v>294</v>
      </c>
      <c r="I6" s="338" t="s">
        <v>290</v>
      </c>
    </row>
    <row r="7" spans="1:9" ht="24" x14ac:dyDescent="0.2">
      <c r="A7" s="348"/>
      <c r="B7" s="349"/>
      <c r="C7" s="220" t="s">
        <v>284</v>
      </c>
      <c r="D7" s="220" t="s">
        <v>285</v>
      </c>
      <c r="E7" s="221" t="s">
        <v>286</v>
      </c>
      <c r="F7" s="220" t="s">
        <v>205</v>
      </c>
      <c r="G7" s="219" t="s">
        <v>266</v>
      </c>
      <c r="H7" s="351"/>
      <c r="I7" s="338"/>
    </row>
    <row r="8" spans="1:9" ht="30" customHeight="1" x14ac:dyDescent="0.25">
      <c r="A8" s="214" t="s">
        <v>272</v>
      </c>
      <c r="B8" s="215">
        <v>23694</v>
      </c>
      <c r="C8" s="159">
        <v>24093</v>
      </c>
      <c r="D8" s="160">
        <v>24303.358790000002</v>
      </c>
      <c r="E8" s="160">
        <v>24458</v>
      </c>
      <c r="F8" s="216">
        <f>Summary!D102</f>
        <v>24198.481230000005</v>
      </c>
      <c r="G8" s="229" t="e">
        <f>Summary!#REF!</f>
        <v>#REF!</v>
      </c>
      <c r="H8" s="217">
        <f>(F8-B8)/B8*100</f>
        <v>2.1291518105849785</v>
      </c>
      <c r="I8" s="218" t="e">
        <f>(G8-F8)/F8*100</f>
        <v>#REF!</v>
      </c>
    </row>
    <row r="9" spans="1:9" ht="30" customHeight="1" x14ac:dyDescent="0.25">
      <c r="A9" s="214" t="s">
        <v>204</v>
      </c>
      <c r="B9" s="215">
        <v>268847</v>
      </c>
      <c r="C9" s="159">
        <v>279290</v>
      </c>
      <c r="D9" s="160">
        <v>280707.24532000005</v>
      </c>
      <c r="E9" s="160">
        <v>280792</v>
      </c>
      <c r="F9" s="216">
        <f>Summary!E102</f>
        <v>277352.03670965583</v>
      </c>
      <c r="G9" s="229" t="e">
        <f>Summary!#REF!</f>
        <v>#REF!</v>
      </c>
      <c r="H9" s="217">
        <f>(F9-B9)/B9*100</f>
        <v>3.163523011101419</v>
      </c>
      <c r="I9" s="218" t="e">
        <f>(G9-F9)/F9*100</f>
        <v>#REF!</v>
      </c>
    </row>
  </sheetData>
  <mergeCells count="7">
    <mergeCell ref="A3:I3"/>
    <mergeCell ref="A5:I5"/>
    <mergeCell ref="A6:A7"/>
    <mergeCell ref="B6:B7"/>
    <mergeCell ref="C6:F6"/>
    <mergeCell ref="I6:I7"/>
    <mergeCell ref="H6:H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D53" sqref="D53"/>
    </sheetView>
  </sheetViews>
  <sheetFormatPr defaultColWidth="9.5703125" defaultRowHeight="15.75" customHeight="1" x14ac:dyDescent="0.25"/>
  <cols>
    <col min="1" max="1" width="20.85546875" style="192" customWidth="1"/>
    <col min="2" max="11" width="12.5703125" style="192" customWidth="1"/>
    <col min="12" max="16384" width="9.5703125" style="192"/>
  </cols>
  <sheetData>
    <row r="1" spans="1:11" ht="45.75" customHeight="1" x14ac:dyDescent="0.25">
      <c r="A1" s="191" t="s">
        <v>202</v>
      </c>
      <c r="B1" s="259" t="s">
        <v>109</v>
      </c>
      <c r="C1" s="259"/>
      <c r="D1" s="260" t="s">
        <v>243</v>
      </c>
      <c r="E1" s="260"/>
      <c r="F1" s="260" t="s">
        <v>181</v>
      </c>
      <c r="G1" s="260"/>
      <c r="H1" s="259" t="s">
        <v>110</v>
      </c>
      <c r="I1" s="259"/>
      <c r="J1" s="259" t="s">
        <v>9</v>
      </c>
      <c r="K1" s="259"/>
    </row>
    <row r="2" spans="1:11" ht="15.75" customHeight="1" x14ac:dyDescent="0.25">
      <c r="A2" s="193"/>
      <c r="B2" s="191" t="s">
        <v>48</v>
      </c>
      <c r="C2" s="191" t="s">
        <v>10</v>
      </c>
      <c r="D2" s="191" t="s">
        <v>48</v>
      </c>
      <c r="E2" s="191" t="s">
        <v>10</v>
      </c>
      <c r="F2" s="191" t="s">
        <v>48</v>
      </c>
      <c r="G2" s="191" t="s">
        <v>10</v>
      </c>
      <c r="H2" s="191" t="s">
        <v>48</v>
      </c>
      <c r="I2" s="191" t="s">
        <v>10</v>
      </c>
      <c r="J2" s="191" t="s">
        <v>48</v>
      </c>
      <c r="K2" s="191" t="s">
        <v>10</v>
      </c>
    </row>
    <row r="3" spans="1:11" ht="15.75" customHeight="1" x14ac:dyDescent="0.25">
      <c r="A3" s="194" t="s">
        <v>11</v>
      </c>
      <c r="B3" s="195">
        <v>0.18</v>
      </c>
      <c r="C3" s="195">
        <v>1.43</v>
      </c>
      <c r="D3" s="195">
        <v>0.09</v>
      </c>
      <c r="E3" s="195">
        <v>0.39</v>
      </c>
      <c r="F3" s="195">
        <v>0.08</v>
      </c>
      <c r="G3" s="195">
        <v>0.48</v>
      </c>
      <c r="H3" s="195"/>
      <c r="I3" s="195"/>
      <c r="J3" s="196">
        <f>B3+D3+F3+H3</f>
        <v>0.35000000000000003</v>
      </c>
      <c r="K3" s="196">
        <f>C3+E3+G3+I3</f>
        <v>2.2999999999999998</v>
      </c>
    </row>
    <row r="4" spans="1:11" ht="15.75" customHeight="1" x14ac:dyDescent="0.25">
      <c r="A4" s="194" t="s">
        <v>12</v>
      </c>
      <c r="B4" s="195">
        <v>38.85</v>
      </c>
      <c r="C4" s="195">
        <v>582.74300000000005</v>
      </c>
      <c r="D4" s="195"/>
      <c r="E4" s="195"/>
      <c r="F4" s="195">
        <v>98.566000000000003</v>
      </c>
      <c r="G4" s="195">
        <v>1330.6379999999999</v>
      </c>
      <c r="H4" s="195"/>
      <c r="I4" s="195"/>
      <c r="J4" s="196">
        <f t="shared" ref="J4:J37" si="0">B4+D4+F4+H4</f>
        <v>137.416</v>
      </c>
      <c r="K4" s="196">
        <f t="shared" ref="K4:K37" si="1">C4+E4+G4+I4</f>
        <v>1913.3809999999999</v>
      </c>
    </row>
    <row r="5" spans="1:11" ht="15.75" customHeight="1" x14ac:dyDescent="0.25">
      <c r="A5" s="197" t="s">
        <v>13</v>
      </c>
      <c r="B5" s="195"/>
      <c r="C5" s="195"/>
      <c r="D5" s="195"/>
      <c r="E5" s="195"/>
      <c r="F5" s="195"/>
      <c r="G5" s="195"/>
      <c r="H5" s="195">
        <v>39.880000000000003</v>
      </c>
      <c r="I5" s="195">
        <v>182.1</v>
      </c>
      <c r="J5" s="196">
        <f t="shared" si="0"/>
        <v>39.880000000000003</v>
      </c>
      <c r="K5" s="196">
        <f t="shared" si="1"/>
        <v>182.1</v>
      </c>
    </row>
    <row r="6" spans="1:11" ht="15.75" customHeight="1" x14ac:dyDescent="0.25">
      <c r="A6" s="194" t="s">
        <v>14</v>
      </c>
      <c r="B6" s="195">
        <v>12.973000000000001</v>
      </c>
      <c r="C6" s="195">
        <v>103.459</v>
      </c>
      <c r="D6" s="195">
        <v>15.669</v>
      </c>
      <c r="E6" s="195">
        <v>188.78100000000001</v>
      </c>
      <c r="F6" s="195">
        <v>0.14199999999999999</v>
      </c>
      <c r="G6" s="195">
        <v>1.8460000000000001</v>
      </c>
      <c r="H6" s="195"/>
      <c r="I6" s="195"/>
      <c r="J6" s="196">
        <f t="shared" si="0"/>
        <v>28.784000000000002</v>
      </c>
      <c r="K6" s="196">
        <f t="shared" si="1"/>
        <v>294.08600000000001</v>
      </c>
    </row>
    <row r="7" spans="1:11" ht="15" customHeight="1" x14ac:dyDescent="0.25">
      <c r="A7" s="194" t="s">
        <v>15</v>
      </c>
      <c r="B7" s="195">
        <v>17.952000000000002</v>
      </c>
      <c r="C7" s="195">
        <v>128.904</v>
      </c>
      <c r="D7" s="195"/>
      <c r="E7" s="195"/>
      <c r="F7" s="195"/>
      <c r="G7" s="195"/>
      <c r="H7" s="195"/>
      <c r="I7" s="195"/>
      <c r="J7" s="196">
        <f t="shared" si="0"/>
        <v>17.952000000000002</v>
      </c>
      <c r="K7" s="196">
        <f t="shared" si="1"/>
        <v>128.904</v>
      </c>
    </row>
    <row r="8" spans="1:11" ht="15.75" customHeight="1" x14ac:dyDescent="0.25">
      <c r="A8" s="194" t="s">
        <v>55</v>
      </c>
      <c r="B8" s="195">
        <v>11.46</v>
      </c>
      <c r="C8" s="195">
        <v>78.790000000000006</v>
      </c>
      <c r="D8" s="195"/>
      <c r="E8" s="195"/>
      <c r="F8" s="195">
        <v>0.35</v>
      </c>
      <c r="G8" s="195">
        <v>1.83</v>
      </c>
      <c r="H8" s="195"/>
      <c r="I8" s="195"/>
      <c r="J8" s="196">
        <f t="shared" si="0"/>
        <v>11.81</v>
      </c>
      <c r="K8" s="196">
        <f t="shared" si="1"/>
        <v>80.62</v>
      </c>
    </row>
    <row r="9" spans="1:11" ht="15.75" customHeight="1" x14ac:dyDescent="0.25">
      <c r="A9" s="194" t="s">
        <v>16</v>
      </c>
      <c r="B9" s="195"/>
      <c r="C9" s="195"/>
      <c r="D9" s="195"/>
      <c r="E9" s="195"/>
      <c r="F9" s="195"/>
      <c r="G9" s="195"/>
      <c r="H9" s="195"/>
      <c r="I9" s="195"/>
      <c r="J9" s="196">
        <f t="shared" si="0"/>
        <v>0</v>
      </c>
      <c r="K9" s="196">
        <f t="shared" si="1"/>
        <v>0</v>
      </c>
    </row>
    <row r="10" spans="1:11" ht="15.75" customHeight="1" x14ac:dyDescent="0.25">
      <c r="A10" s="194" t="s">
        <v>17</v>
      </c>
      <c r="B10" s="195"/>
      <c r="C10" s="195"/>
      <c r="D10" s="195"/>
      <c r="E10" s="195"/>
      <c r="F10" s="195"/>
      <c r="G10" s="195"/>
      <c r="H10" s="195"/>
      <c r="I10" s="195"/>
      <c r="J10" s="196">
        <f t="shared" si="0"/>
        <v>0</v>
      </c>
      <c r="K10" s="196">
        <f t="shared" si="1"/>
        <v>0</v>
      </c>
    </row>
    <row r="11" spans="1:11" ht="15.75" customHeight="1" x14ac:dyDescent="0.25">
      <c r="A11" s="194" t="s">
        <v>18</v>
      </c>
      <c r="B11" s="195"/>
      <c r="C11" s="195"/>
      <c r="D11" s="195"/>
      <c r="E11" s="195"/>
      <c r="F11" s="195"/>
      <c r="G11" s="195"/>
      <c r="H11" s="195"/>
      <c r="I11" s="195"/>
      <c r="J11" s="196">
        <f t="shared" si="0"/>
        <v>0</v>
      </c>
      <c r="K11" s="196">
        <f t="shared" si="1"/>
        <v>0</v>
      </c>
    </row>
    <row r="12" spans="1:11" ht="15.75" customHeight="1" x14ac:dyDescent="0.25">
      <c r="A12" s="194" t="s">
        <v>19</v>
      </c>
      <c r="B12" s="195"/>
      <c r="C12" s="195"/>
      <c r="D12" s="195"/>
      <c r="E12" s="195"/>
      <c r="F12" s="195"/>
      <c r="G12" s="195"/>
      <c r="H12" s="195"/>
      <c r="I12" s="195"/>
      <c r="J12" s="196">
        <f t="shared" si="0"/>
        <v>0</v>
      </c>
      <c r="K12" s="196">
        <f t="shared" si="1"/>
        <v>0</v>
      </c>
    </row>
    <row r="13" spans="1:11" ht="15.75" customHeight="1" x14ac:dyDescent="0.25">
      <c r="A13" s="194" t="s">
        <v>20</v>
      </c>
      <c r="B13" s="195">
        <v>41.08</v>
      </c>
      <c r="C13" s="195">
        <v>449.24</v>
      </c>
      <c r="D13" s="195"/>
      <c r="E13" s="195"/>
      <c r="F13" s="195"/>
      <c r="G13" s="195"/>
      <c r="H13" s="195"/>
      <c r="I13" s="195"/>
      <c r="J13" s="196">
        <f t="shared" si="0"/>
        <v>41.08</v>
      </c>
      <c r="K13" s="196">
        <f t="shared" si="1"/>
        <v>449.24</v>
      </c>
    </row>
    <row r="14" spans="1:11" ht="15.75" customHeight="1" x14ac:dyDescent="0.25">
      <c r="A14" s="194" t="s">
        <v>21</v>
      </c>
      <c r="B14" s="195"/>
      <c r="C14" s="195"/>
      <c r="D14" s="195"/>
      <c r="E14" s="195"/>
      <c r="F14" s="195"/>
      <c r="G14" s="195"/>
      <c r="H14" s="195">
        <v>19.38</v>
      </c>
      <c r="I14" s="195">
        <v>235.35</v>
      </c>
      <c r="J14" s="196">
        <f t="shared" si="0"/>
        <v>19.38</v>
      </c>
      <c r="K14" s="196">
        <f t="shared" si="1"/>
        <v>235.35</v>
      </c>
    </row>
    <row r="15" spans="1:11" ht="15.75" customHeight="1" x14ac:dyDescent="0.25">
      <c r="A15" s="194" t="s">
        <v>22</v>
      </c>
      <c r="B15" s="195">
        <v>10.568</v>
      </c>
      <c r="C15" s="195">
        <v>5.9269999999999996</v>
      </c>
      <c r="D15" s="195">
        <v>8.5939999999999994</v>
      </c>
      <c r="E15" s="195">
        <v>11.01</v>
      </c>
      <c r="F15" s="195">
        <v>1.5489999999999999</v>
      </c>
      <c r="G15" s="195">
        <v>1.946</v>
      </c>
      <c r="H15" s="195">
        <v>2.399</v>
      </c>
      <c r="I15" s="195">
        <v>3.39</v>
      </c>
      <c r="J15" s="196">
        <f t="shared" si="0"/>
        <v>23.11</v>
      </c>
      <c r="K15" s="196">
        <f t="shared" si="1"/>
        <v>22.273</v>
      </c>
    </row>
    <row r="16" spans="1:11" ht="15.75" customHeight="1" x14ac:dyDescent="0.25">
      <c r="A16" s="194" t="s">
        <v>23</v>
      </c>
      <c r="B16" s="195"/>
      <c r="C16" s="195"/>
      <c r="D16" s="195"/>
      <c r="E16" s="195"/>
      <c r="F16" s="195"/>
      <c r="G16" s="195"/>
      <c r="H16" s="195">
        <v>14.215999999999999</v>
      </c>
      <c r="I16" s="195">
        <v>22.57</v>
      </c>
      <c r="J16" s="196">
        <f t="shared" si="0"/>
        <v>14.215999999999999</v>
      </c>
      <c r="K16" s="196">
        <f t="shared" si="1"/>
        <v>22.57</v>
      </c>
    </row>
    <row r="17" spans="1:11" ht="15.75" customHeight="1" x14ac:dyDescent="0.25">
      <c r="A17" s="194" t="s">
        <v>24</v>
      </c>
      <c r="B17" s="195">
        <v>8.82</v>
      </c>
      <c r="C17" s="195">
        <v>87.668999999999997</v>
      </c>
      <c r="D17" s="195">
        <v>0.46</v>
      </c>
      <c r="E17" s="195"/>
      <c r="F17" s="195"/>
      <c r="G17" s="195"/>
      <c r="H17" s="195"/>
      <c r="I17" s="195"/>
      <c r="J17" s="196">
        <f t="shared" si="0"/>
        <v>9.2800000000000011</v>
      </c>
      <c r="K17" s="196">
        <f t="shared" si="1"/>
        <v>87.668999999999997</v>
      </c>
    </row>
    <row r="18" spans="1:11" ht="15.75" customHeight="1" x14ac:dyDescent="0.25">
      <c r="A18" s="194" t="s">
        <v>25</v>
      </c>
      <c r="B18" s="195">
        <v>11.48</v>
      </c>
      <c r="C18" s="195">
        <v>268.24</v>
      </c>
      <c r="D18" s="195">
        <v>3.41</v>
      </c>
      <c r="E18" s="195">
        <v>75.89</v>
      </c>
      <c r="F18" s="195">
        <v>2.09</v>
      </c>
      <c r="G18" s="195">
        <v>31.54</v>
      </c>
      <c r="H18" s="195">
        <v>0.31</v>
      </c>
      <c r="I18" s="195">
        <v>3.58</v>
      </c>
      <c r="J18" s="196">
        <f t="shared" si="0"/>
        <v>17.29</v>
      </c>
      <c r="K18" s="196">
        <f t="shared" si="1"/>
        <v>379.25</v>
      </c>
    </row>
    <row r="19" spans="1:11" ht="15.75" customHeight="1" x14ac:dyDescent="0.25">
      <c r="A19" s="194" t="s">
        <v>26</v>
      </c>
      <c r="B19" s="195"/>
      <c r="C19" s="195"/>
      <c r="D19" s="195"/>
      <c r="E19" s="195"/>
      <c r="F19" s="195"/>
      <c r="G19" s="195"/>
      <c r="H19" s="195"/>
      <c r="I19" s="195"/>
      <c r="J19" s="196">
        <f t="shared" si="0"/>
        <v>0</v>
      </c>
      <c r="K19" s="196">
        <f t="shared" si="1"/>
        <v>0</v>
      </c>
    </row>
    <row r="20" spans="1:11" ht="15.75" customHeight="1" x14ac:dyDescent="0.25">
      <c r="A20" s="194" t="s">
        <v>56</v>
      </c>
      <c r="B20" s="195"/>
      <c r="C20" s="195"/>
      <c r="D20" s="195"/>
      <c r="E20" s="195"/>
      <c r="F20" s="195"/>
      <c r="G20" s="195"/>
      <c r="H20" s="195"/>
      <c r="I20" s="195"/>
      <c r="J20" s="196">
        <f t="shared" si="0"/>
        <v>0</v>
      </c>
      <c r="K20" s="196">
        <f t="shared" si="1"/>
        <v>0</v>
      </c>
    </row>
    <row r="21" spans="1:11" ht="15.75" customHeight="1" x14ac:dyDescent="0.25">
      <c r="A21" s="194" t="s">
        <v>27</v>
      </c>
      <c r="B21" s="195">
        <v>10.79</v>
      </c>
      <c r="C21" s="195">
        <v>237.38</v>
      </c>
      <c r="D21" s="195">
        <v>52.49</v>
      </c>
      <c r="E21" s="195">
        <v>894.43</v>
      </c>
      <c r="F21" s="195">
        <v>8.5269999999999992</v>
      </c>
      <c r="G21" s="195">
        <v>108.97499999999999</v>
      </c>
      <c r="H21" s="195"/>
      <c r="I21" s="195"/>
      <c r="J21" s="196">
        <f t="shared" si="0"/>
        <v>71.807000000000002</v>
      </c>
      <c r="K21" s="196">
        <f t="shared" si="1"/>
        <v>1240.7849999999999</v>
      </c>
    </row>
    <row r="22" spans="1:11" ht="15.75" customHeight="1" x14ac:dyDescent="0.25">
      <c r="A22" s="194" t="s">
        <v>28</v>
      </c>
      <c r="B22" s="195">
        <v>45</v>
      </c>
      <c r="C22" s="195">
        <v>306</v>
      </c>
      <c r="D22" s="195">
        <v>135</v>
      </c>
      <c r="E22" s="195">
        <v>742.5</v>
      </c>
      <c r="F22" s="195">
        <v>95</v>
      </c>
      <c r="G22" s="195">
        <v>712.5</v>
      </c>
      <c r="H22" s="195"/>
      <c r="I22" s="195"/>
      <c r="J22" s="196">
        <f t="shared" si="0"/>
        <v>275</v>
      </c>
      <c r="K22" s="196">
        <f t="shared" si="1"/>
        <v>1761</v>
      </c>
    </row>
    <row r="23" spans="1:11" ht="15.75" customHeight="1" x14ac:dyDescent="0.25">
      <c r="A23" s="198" t="s">
        <v>29</v>
      </c>
      <c r="B23" s="195">
        <v>5.85</v>
      </c>
      <c r="C23" s="195">
        <v>52.65</v>
      </c>
      <c r="D23" s="195">
        <v>5.15</v>
      </c>
      <c r="E23" s="195">
        <v>41.2</v>
      </c>
      <c r="F23" s="195"/>
      <c r="G23" s="195"/>
      <c r="H23" s="195"/>
      <c r="I23" s="195"/>
      <c r="J23" s="196">
        <f t="shared" si="0"/>
        <v>11</v>
      </c>
      <c r="K23" s="196">
        <f t="shared" si="1"/>
        <v>93.85</v>
      </c>
    </row>
    <row r="24" spans="1:11" ht="15.75" customHeight="1" x14ac:dyDescent="0.25">
      <c r="A24" s="194" t="s">
        <v>30</v>
      </c>
      <c r="B24" s="195">
        <v>1.087</v>
      </c>
      <c r="C24" s="195">
        <v>3.9620000000000002</v>
      </c>
      <c r="D24" s="195">
        <v>8.6</v>
      </c>
      <c r="E24" s="195">
        <v>40.892000000000003</v>
      </c>
      <c r="F24" s="195"/>
      <c r="G24" s="195"/>
      <c r="H24" s="195">
        <v>1.7809999999999999</v>
      </c>
      <c r="I24" s="195">
        <v>4.7460000000000004</v>
      </c>
      <c r="J24" s="196">
        <f t="shared" si="0"/>
        <v>11.468</v>
      </c>
      <c r="K24" s="196">
        <f t="shared" si="1"/>
        <v>49.600000000000009</v>
      </c>
    </row>
    <row r="25" spans="1:11" ht="15.75" customHeight="1" x14ac:dyDescent="0.25">
      <c r="A25" s="194" t="s">
        <v>31</v>
      </c>
      <c r="B25" s="195">
        <v>8</v>
      </c>
      <c r="C25" s="195">
        <v>25.6</v>
      </c>
      <c r="D25" s="195">
        <v>13.507999999999999</v>
      </c>
      <c r="E25" s="195">
        <v>40.43</v>
      </c>
      <c r="F25" s="195">
        <v>1.52</v>
      </c>
      <c r="G25" s="195">
        <v>4.8639999999999999</v>
      </c>
      <c r="H25" s="195">
        <v>2.12</v>
      </c>
      <c r="I25" s="195">
        <v>6.8</v>
      </c>
      <c r="J25" s="196">
        <f t="shared" si="0"/>
        <v>25.148</v>
      </c>
      <c r="K25" s="196">
        <f t="shared" si="1"/>
        <v>77.694000000000003</v>
      </c>
    </row>
    <row r="26" spans="1:11" ht="17.25" customHeight="1" x14ac:dyDescent="0.25">
      <c r="A26" s="197" t="s">
        <v>32</v>
      </c>
      <c r="B26" s="195">
        <v>1.55</v>
      </c>
      <c r="C26" s="195">
        <v>12.4</v>
      </c>
      <c r="D26" s="195">
        <v>6.1</v>
      </c>
      <c r="E26" s="195">
        <v>54.8</v>
      </c>
      <c r="F26" s="195">
        <v>0.26</v>
      </c>
      <c r="G26" s="195">
        <v>2.08</v>
      </c>
      <c r="H26" s="195">
        <v>0.64</v>
      </c>
      <c r="I26" s="195">
        <v>5.12</v>
      </c>
      <c r="J26" s="196">
        <f t="shared" si="0"/>
        <v>8.5499999999999989</v>
      </c>
      <c r="K26" s="196">
        <f t="shared" si="1"/>
        <v>74.400000000000006</v>
      </c>
    </row>
    <row r="27" spans="1:11" ht="15.75" customHeight="1" x14ac:dyDescent="0.25">
      <c r="A27" s="194" t="s">
        <v>189</v>
      </c>
      <c r="B27" s="195"/>
      <c r="C27" s="195"/>
      <c r="D27" s="195"/>
      <c r="E27" s="195"/>
      <c r="F27" s="195"/>
      <c r="G27" s="195"/>
      <c r="H27" s="195">
        <v>27.52</v>
      </c>
      <c r="I27" s="195">
        <v>268.01</v>
      </c>
      <c r="J27" s="196">
        <f t="shared" si="0"/>
        <v>27.52</v>
      </c>
      <c r="K27" s="196">
        <f t="shared" si="1"/>
        <v>268.01</v>
      </c>
    </row>
    <row r="28" spans="1:11" ht="15.75" customHeight="1" x14ac:dyDescent="0.25">
      <c r="A28" s="197" t="s">
        <v>167</v>
      </c>
      <c r="B28" s="195">
        <v>1.2999999999999999E-2</v>
      </c>
      <c r="C28" s="195">
        <v>0.104</v>
      </c>
      <c r="D28" s="195"/>
      <c r="E28" s="195"/>
      <c r="F28" s="195"/>
      <c r="G28" s="195"/>
      <c r="H28" s="195"/>
      <c r="I28" s="195"/>
      <c r="J28" s="196">
        <f t="shared" si="0"/>
        <v>1.2999999999999999E-2</v>
      </c>
      <c r="K28" s="196">
        <f t="shared" si="1"/>
        <v>0.104</v>
      </c>
    </row>
    <row r="29" spans="1:11" ht="15.75" customHeight="1" x14ac:dyDescent="0.25">
      <c r="A29" s="194" t="s">
        <v>33</v>
      </c>
      <c r="B29" s="195">
        <v>0.65600000000000003</v>
      </c>
      <c r="C29" s="195">
        <v>5.0199999999999996</v>
      </c>
      <c r="D29" s="195">
        <v>47.100999999999999</v>
      </c>
      <c r="E29" s="195">
        <v>1017.725</v>
      </c>
      <c r="F29" s="195">
        <v>2.6709999999999998</v>
      </c>
      <c r="G29" s="195">
        <v>21.457000000000001</v>
      </c>
      <c r="H29" s="195"/>
      <c r="I29" s="195"/>
      <c r="J29" s="196">
        <f t="shared" si="0"/>
        <v>50.427999999999997</v>
      </c>
      <c r="K29" s="196">
        <f t="shared" si="1"/>
        <v>1044.202</v>
      </c>
    </row>
    <row r="30" spans="1:11" ht="15.75" customHeight="1" x14ac:dyDescent="0.25">
      <c r="A30" s="194" t="s">
        <v>34</v>
      </c>
      <c r="B30" s="195">
        <v>2.6890000000000001</v>
      </c>
      <c r="C30" s="195">
        <v>15.35</v>
      </c>
      <c r="D30" s="195">
        <v>11.225</v>
      </c>
      <c r="E30" s="195">
        <v>229.89</v>
      </c>
      <c r="F30" s="195">
        <v>0.29499999999999998</v>
      </c>
      <c r="G30" s="195">
        <v>7.19</v>
      </c>
      <c r="H30" s="195">
        <v>9.8889999999999993</v>
      </c>
      <c r="I30" s="195">
        <v>180.77</v>
      </c>
      <c r="J30" s="196">
        <f t="shared" si="0"/>
        <v>24.097999999999999</v>
      </c>
      <c r="K30" s="196">
        <f t="shared" si="1"/>
        <v>433.2</v>
      </c>
    </row>
    <row r="31" spans="1:11" ht="15.75" customHeight="1" x14ac:dyDescent="0.25">
      <c r="A31" s="194" t="s">
        <v>35</v>
      </c>
      <c r="B31" s="195"/>
      <c r="C31" s="195"/>
      <c r="D31" s="195">
        <v>10.282</v>
      </c>
      <c r="E31" s="195">
        <v>16.855</v>
      </c>
      <c r="F31" s="195"/>
      <c r="G31" s="195"/>
      <c r="H31" s="195"/>
      <c r="I31" s="195"/>
      <c r="J31" s="196">
        <f t="shared" si="0"/>
        <v>10.282</v>
      </c>
      <c r="K31" s="196">
        <f t="shared" si="1"/>
        <v>16.855</v>
      </c>
    </row>
    <row r="32" spans="1:11" ht="15.75" customHeight="1" x14ac:dyDescent="0.25">
      <c r="A32" s="194" t="s">
        <v>36</v>
      </c>
      <c r="B32" s="195">
        <v>8.92</v>
      </c>
      <c r="C32" s="195">
        <v>22.15</v>
      </c>
      <c r="D32" s="195">
        <v>2.11</v>
      </c>
      <c r="E32" s="195">
        <v>4.12</v>
      </c>
      <c r="F32" s="195">
        <v>0.12</v>
      </c>
      <c r="G32" s="195">
        <v>3.84</v>
      </c>
      <c r="H32" s="195">
        <v>0.27</v>
      </c>
      <c r="I32" s="195">
        <v>9.59</v>
      </c>
      <c r="J32" s="196">
        <f t="shared" si="0"/>
        <v>11.419999999999998</v>
      </c>
      <c r="K32" s="196">
        <f t="shared" si="1"/>
        <v>39.700000000000003</v>
      </c>
    </row>
    <row r="33" spans="1:11" ht="15.75" customHeight="1" x14ac:dyDescent="0.25">
      <c r="A33" s="199" t="s">
        <v>241</v>
      </c>
      <c r="B33" s="195">
        <v>22.123999999999999</v>
      </c>
      <c r="C33" s="195">
        <v>331.86200000000002</v>
      </c>
      <c r="D33" s="195"/>
      <c r="E33" s="195"/>
      <c r="F33" s="195">
        <v>122.669</v>
      </c>
      <c r="G33" s="195">
        <v>1656.0319999999999</v>
      </c>
      <c r="H33" s="195"/>
      <c r="I33" s="195"/>
      <c r="J33" s="196">
        <f t="shared" si="0"/>
        <v>144.79300000000001</v>
      </c>
      <c r="K33" s="196">
        <f t="shared" si="1"/>
        <v>1987.894</v>
      </c>
    </row>
    <row r="34" spans="1:11" ht="15.75" customHeight="1" x14ac:dyDescent="0.25">
      <c r="A34" s="194" t="s">
        <v>37</v>
      </c>
      <c r="B34" s="195">
        <v>4.83</v>
      </c>
      <c r="C34" s="195">
        <v>23.12</v>
      </c>
      <c r="D34" s="195">
        <v>6.3</v>
      </c>
      <c r="E34" s="195">
        <v>33.9</v>
      </c>
      <c r="F34" s="195">
        <v>1.1000000000000001</v>
      </c>
      <c r="G34" s="195">
        <v>0.98</v>
      </c>
      <c r="H34" s="195"/>
      <c r="I34" s="195"/>
      <c r="J34" s="196">
        <f t="shared" si="0"/>
        <v>12.229999999999999</v>
      </c>
      <c r="K34" s="196">
        <f t="shared" si="1"/>
        <v>57.999999999999993</v>
      </c>
    </row>
    <row r="35" spans="1:11" ht="15" customHeight="1" x14ac:dyDescent="0.25">
      <c r="A35" s="194" t="s">
        <v>38</v>
      </c>
      <c r="B35" s="195">
        <v>0.56399999999999995</v>
      </c>
      <c r="C35" s="195">
        <v>1.6259999999999999</v>
      </c>
      <c r="D35" s="195"/>
      <c r="E35" s="195"/>
      <c r="F35" s="195"/>
      <c r="G35" s="195"/>
      <c r="H35" s="195"/>
      <c r="I35" s="195"/>
      <c r="J35" s="196">
        <f t="shared" si="0"/>
        <v>0.56399999999999995</v>
      </c>
      <c r="K35" s="196">
        <f t="shared" si="1"/>
        <v>1.6259999999999999</v>
      </c>
    </row>
    <row r="36" spans="1:11" ht="15.75" customHeight="1" x14ac:dyDescent="0.25">
      <c r="A36" s="194" t="s">
        <v>90</v>
      </c>
      <c r="B36" s="195">
        <v>20.978000000000002</v>
      </c>
      <c r="C36" s="195">
        <v>91.391999999999996</v>
      </c>
      <c r="D36" s="195"/>
      <c r="E36" s="195"/>
      <c r="F36" s="195"/>
      <c r="G36" s="195"/>
      <c r="H36" s="195"/>
      <c r="I36" s="195"/>
      <c r="J36" s="196">
        <f t="shared" si="0"/>
        <v>20.978000000000002</v>
      </c>
      <c r="K36" s="196">
        <f t="shared" si="1"/>
        <v>91.391999999999996</v>
      </c>
    </row>
    <row r="37" spans="1:11" ht="15.75" customHeight="1" x14ac:dyDescent="0.25">
      <c r="A37" s="194" t="s">
        <v>40</v>
      </c>
      <c r="B37" s="195"/>
      <c r="C37" s="195"/>
      <c r="D37" s="195">
        <v>3.88</v>
      </c>
      <c r="E37" s="195">
        <v>38.6</v>
      </c>
      <c r="F37" s="195"/>
      <c r="G37" s="195"/>
      <c r="H37" s="195">
        <v>8</v>
      </c>
      <c r="I37" s="195">
        <v>72.400000000000006</v>
      </c>
      <c r="J37" s="196">
        <f t="shared" si="0"/>
        <v>11.879999999999999</v>
      </c>
      <c r="K37" s="196">
        <f t="shared" si="1"/>
        <v>111</v>
      </c>
    </row>
    <row r="38" spans="1:11" ht="15.75" customHeight="1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6"/>
      <c r="K38" s="196"/>
    </row>
    <row r="39" spans="1:11" ht="15.75" customHeight="1" x14ac:dyDescent="0.25">
      <c r="A39" s="194" t="s">
        <v>9</v>
      </c>
      <c r="B39" s="196">
        <f>SUM(B3:B38)</f>
        <v>286.41399999999999</v>
      </c>
      <c r="C39" s="196">
        <f t="shared" ref="C39:K39" si="2">SUM(C3:C38)</f>
        <v>2835.018</v>
      </c>
      <c r="D39" s="196">
        <f t="shared" si="2"/>
        <v>329.96900000000005</v>
      </c>
      <c r="E39" s="196">
        <f t="shared" si="2"/>
        <v>3431.413</v>
      </c>
      <c r="F39" s="196">
        <f t="shared" si="2"/>
        <v>334.93900000000002</v>
      </c>
      <c r="G39" s="196">
        <f t="shared" si="2"/>
        <v>3886.1979999999999</v>
      </c>
      <c r="H39" s="196">
        <f t="shared" si="2"/>
        <v>126.405</v>
      </c>
      <c r="I39" s="196">
        <f t="shared" si="2"/>
        <v>994.42599999999993</v>
      </c>
      <c r="J39" s="196">
        <f t="shared" si="2"/>
        <v>1077.7270000000001</v>
      </c>
      <c r="K39" s="196">
        <f t="shared" si="2"/>
        <v>11147.055000000002</v>
      </c>
    </row>
    <row r="40" spans="1:11" ht="15.75" customHeight="1" x14ac:dyDescent="0.25">
      <c r="A40" s="236" t="s">
        <v>303</v>
      </c>
    </row>
    <row r="41" spans="1:11" ht="15.75" customHeight="1" x14ac:dyDescent="0.25">
      <c r="A41" s="236" t="s">
        <v>209</v>
      </c>
    </row>
  </sheetData>
  <mergeCells count="5">
    <mergeCell ref="J1:K1"/>
    <mergeCell ref="B1:C1"/>
    <mergeCell ref="D1:E1"/>
    <mergeCell ref="F1:G1"/>
    <mergeCell ref="H1:I1"/>
  </mergeCells>
  <phoneticPr fontId="20" type="noConversion"/>
  <printOptions horizontalCentered="1" verticalCentered="1"/>
  <pageMargins left="0.25" right="0.25" top="0.25" bottom="0.25" header="0.25" footer="0.25"/>
  <pageSetup scale="75" orientation="landscape" r:id="rId1"/>
  <headerFooter alignWithMargins="0">
    <oddHeader xml:space="preserve">&amp;C&amp;"-,Bold"&amp;14&amp;UArea and Production of Citrus Crops 2013-14 (Final)&amp;R&amp;"-,Bold"&amp;11Area in '000 Ha 
Prdouction in '000 MT 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41"/>
  <sheetViews>
    <sheetView workbookViewId="0">
      <pane xSplit="1" ySplit="2" topLeftCell="AP36" activePane="bottomRight" state="frozen"/>
      <selection pane="topRight" activeCell="B1" sqref="B1"/>
      <selection pane="bottomLeft" activeCell="A3" sqref="A3"/>
      <selection pane="bottomRight" activeCell="AU48" sqref="AU48"/>
    </sheetView>
  </sheetViews>
  <sheetFormatPr defaultColWidth="9.42578125" defaultRowHeight="30.75" customHeight="1" x14ac:dyDescent="0.25"/>
  <cols>
    <col min="1" max="1" width="19.5703125" style="182" customWidth="1"/>
    <col min="2" max="9" width="8.5703125" style="182" customWidth="1"/>
    <col min="10" max="25" width="8" style="182" customWidth="1"/>
    <col min="26" max="37" width="9.7109375" style="182" customWidth="1"/>
    <col min="38" max="38" width="15" style="182" customWidth="1"/>
    <col min="39" max="39" width="18.28515625" style="182" customWidth="1"/>
    <col min="40" max="47" width="9.7109375" style="182" customWidth="1"/>
    <col min="48" max="48" width="12.85546875" style="182" customWidth="1"/>
    <col min="49" max="50" width="9.5703125" style="182" bestFit="1" customWidth="1"/>
    <col min="51" max="51" width="10.85546875" style="182" customWidth="1"/>
    <col min="52" max="52" width="11.140625" style="182" customWidth="1"/>
    <col min="53" max="16384" width="9.42578125" style="182"/>
  </cols>
  <sheetData>
    <row r="1" spans="1:59" ht="31.5" customHeight="1" x14ac:dyDescent="0.25">
      <c r="A1" s="200" t="s">
        <v>202</v>
      </c>
      <c r="B1" s="265" t="s">
        <v>112</v>
      </c>
      <c r="C1" s="265"/>
      <c r="D1" s="261" t="s">
        <v>187</v>
      </c>
      <c r="E1" s="261"/>
      <c r="F1" s="261" t="s">
        <v>188</v>
      </c>
      <c r="G1" s="261"/>
      <c r="H1" s="261" t="s">
        <v>41</v>
      </c>
      <c r="I1" s="261"/>
      <c r="J1" s="261" t="s">
        <v>42</v>
      </c>
      <c r="K1" s="261"/>
      <c r="L1" s="261" t="s">
        <v>113</v>
      </c>
      <c r="M1" s="261"/>
      <c r="N1" s="261" t="s">
        <v>114</v>
      </c>
      <c r="O1" s="261"/>
      <c r="P1" s="261" t="s">
        <v>115</v>
      </c>
      <c r="Q1" s="261"/>
      <c r="R1" s="261" t="s">
        <v>116</v>
      </c>
      <c r="S1" s="261"/>
      <c r="T1" s="263" t="s">
        <v>238</v>
      </c>
      <c r="U1" s="264"/>
      <c r="V1" s="263" t="s">
        <v>283</v>
      </c>
      <c r="W1" s="264"/>
      <c r="X1" s="261" t="s">
        <v>117</v>
      </c>
      <c r="Y1" s="261"/>
      <c r="Z1" s="261" t="s">
        <v>244</v>
      </c>
      <c r="AA1" s="261"/>
      <c r="AB1" s="261" t="s">
        <v>45</v>
      </c>
      <c r="AC1" s="261"/>
      <c r="AD1" s="262" t="s">
        <v>215</v>
      </c>
      <c r="AE1" s="261"/>
      <c r="AF1" s="261" t="s">
        <v>43</v>
      </c>
      <c r="AG1" s="261"/>
      <c r="AH1" s="261" t="s">
        <v>46</v>
      </c>
      <c r="AI1" s="261"/>
      <c r="AJ1" s="261" t="s">
        <v>118</v>
      </c>
      <c r="AK1" s="261"/>
      <c r="AL1" s="261" t="s">
        <v>119</v>
      </c>
      <c r="AM1" s="261"/>
      <c r="AN1" s="261" t="s">
        <v>120</v>
      </c>
      <c r="AO1" s="261"/>
      <c r="AP1" s="261" t="s">
        <v>47</v>
      </c>
      <c r="AQ1" s="261"/>
      <c r="AR1" s="261" t="s">
        <v>44</v>
      </c>
      <c r="AS1" s="261"/>
      <c r="AT1" s="261" t="s">
        <v>121</v>
      </c>
      <c r="AU1" s="261"/>
      <c r="AV1" s="200" t="s">
        <v>240</v>
      </c>
      <c r="AW1" s="261" t="s">
        <v>8</v>
      </c>
      <c r="AX1" s="261"/>
      <c r="AY1" s="261" t="s">
        <v>9</v>
      </c>
      <c r="AZ1" s="261"/>
    </row>
    <row r="2" spans="1:59" s="201" customFormat="1" ht="20.25" customHeight="1" x14ac:dyDescent="0.25">
      <c r="A2" s="183"/>
      <c r="B2" s="181" t="s">
        <v>48</v>
      </c>
      <c r="C2" s="181" t="s">
        <v>10</v>
      </c>
      <c r="D2" s="181" t="s">
        <v>48</v>
      </c>
      <c r="E2" s="181" t="s">
        <v>10</v>
      </c>
      <c r="F2" s="181" t="s">
        <v>48</v>
      </c>
      <c r="G2" s="181" t="s">
        <v>10</v>
      </c>
      <c r="H2" s="181" t="s">
        <v>48</v>
      </c>
      <c r="I2" s="181" t="s">
        <v>10</v>
      </c>
      <c r="J2" s="181" t="s">
        <v>48</v>
      </c>
      <c r="K2" s="181" t="s">
        <v>10</v>
      </c>
      <c r="L2" s="181" t="s">
        <v>48</v>
      </c>
      <c r="M2" s="181" t="s">
        <v>10</v>
      </c>
      <c r="N2" s="181" t="s">
        <v>48</v>
      </c>
      <c r="O2" s="181" t="s">
        <v>10</v>
      </c>
      <c r="P2" s="181" t="s">
        <v>48</v>
      </c>
      <c r="Q2" s="181" t="s">
        <v>10</v>
      </c>
      <c r="R2" s="181" t="s">
        <v>48</v>
      </c>
      <c r="S2" s="181" t="s">
        <v>10</v>
      </c>
      <c r="T2" s="181" t="s">
        <v>48</v>
      </c>
      <c r="U2" s="181" t="s">
        <v>10</v>
      </c>
      <c r="V2" s="181" t="s">
        <v>48</v>
      </c>
      <c r="W2" s="181" t="s">
        <v>10</v>
      </c>
      <c r="X2" s="181" t="s">
        <v>48</v>
      </c>
      <c r="Y2" s="181" t="s">
        <v>10</v>
      </c>
      <c r="Z2" s="181" t="s">
        <v>48</v>
      </c>
      <c r="AA2" s="181" t="s">
        <v>10</v>
      </c>
      <c r="AB2" s="181" t="s">
        <v>48</v>
      </c>
      <c r="AC2" s="181" t="s">
        <v>10</v>
      </c>
      <c r="AD2" s="181" t="s">
        <v>48</v>
      </c>
      <c r="AE2" s="181" t="s">
        <v>10</v>
      </c>
      <c r="AF2" s="181" t="s">
        <v>48</v>
      </c>
      <c r="AG2" s="181" t="s">
        <v>10</v>
      </c>
      <c r="AH2" s="181" t="s">
        <v>48</v>
      </c>
      <c r="AI2" s="181" t="s">
        <v>10</v>
      </c>
      <c r="AJ2" s="181" t="s">
        <v>48</v>
      </c>
      <c r="AK2" s="181" t="s">
        <v>10</v>
      </c>
      <c r="AL2" s="181" t="s">
        <v>48</v>
      </c>
      <c r="AM2" s="181" t="s">
        <v>10</v>
      </c>
      <c r="AN2" s="181" t="s">
        <v>48</v>
      </c>
      <c r="AO2" s="181" t="s">
        <v>10</v>
      </c>
      <c r="AP2" s="181" t="s">
        <v>48</v>
      </c>
      <c r="AQ2" s="181" t="s">
        <v>10</v>
      </c>
      <c r="AR2" s="181" t="s">
        <v>48</v>
      </c>
      <c r="AS2" s="181" t="s">
        <v>10</v>
      </c>
      <c r="AT2" s="181" t="s">
        <v>48</v>
      </c>
      <c r="AU2" s="181" t="s">
        <v>10</v>
      </c>
      <c r="AV2" s="181" t="s">
        <v>10</v>
      </c>
      <c r="AW2" s="181" t="s">
        <v>48</v>
      </c>
      <c r="AX2" s="181" t="s">
        <v>10</v>
      </c>
      <c r="AY2" s="181" t="s">
        <v>48</v>
      </c>
      <c r="AZ2" s="181" t="s">
        <v>10</v>
      </c>
    </row>
    <row r="3" spans="1:59" ht="13.5" customHeight="1" x14ac:dyDescent="0.25">
      <c r="A3" s="184" t="s">
        <v>11</v>
      </c>
      <c r="B3" s="185"/>
      <c r="C3" s="185"/>
      <c r="D3" s="185">
        <v>0.4</v>
      </c>
      <c r="E3" s="185">
        <v>1.7</v>
      </c>
      <c r="F3" s="185">
        <v>0.24</v>
      </c>
      <c r="G3" s="185">
        <v>1.1399999999999999</v>
      </c>
      <c r="H3" s="185">
        <v>0.56999999999999995</v>
      </c>
      <c r="I3" s="185">
        <v>3.29</v>
      </c>
      <c r="J3" s="185">
        <v>0.08</v>
      </c>
      <c r="K3" s="185">
        <v>1.25</v>
      </c>
      <c r="L3" s="185"/>
      <c r="M3" s="185"/>
      <c r="N3" s="185"/>
      <c r="O3" s="185"/>
      <c r="P3" s="185">
        <v>0.49</v>
      </c>
      <c r="Q3" s="185">
        <v>4.5999999999999996</v>
      </c>
      <c r="R3" s="185">
        <v>0.3</v>
      </c>
      <c r="S3" s="185">
        <v>1.61</v>
      </c>
      <c r="T3" s="185">
        <v>0.23</v>
      </c>
      <c r="U3" s="185">
        <v>0.44</v>
      </c>
      <c r="V3" s="185"/>
      <c r="W3" s="185"/>
      <c r="X3" s="185">
        <v>0.02</v>
      </c>
      <c r="Y3" s="185">
        <v>0.31</v>
      </c>
      <c r="Z3" s="185">
        <v>0.84</v>
      </c>
      <c r="AA3" s="185">
        <v>4.57</v>
      </c>
      <c r="AB3" s="185"/>
      <c r="AC3" s="185"/>
      <c r="AD3" s="185"/>
      <c r="AE3" s="185"/>
      <c r="AF3" s="185"/>
      <c r="AG3" s="185"/>
      <c r="AH3" s="185"/>
      <c r="AI3" s="185"/>
      <c r="AJ3" s="185">
        <v>0.28000000000000003</v>
      </c>
      <c r="AK3" s="185">
        <v>1.52</v>
      </c>
      <c r="AL3" s="185">
        <v>0.3</v>
      </c>
      <c r="AM3" s="185">
        <v>2.02</v>
      </c>
      <c r="AN3" s="185">
        <v>0.17</v>
      </c>
      <c r="AO3" s="185">
        <v>2.69</v>
      </c>
      <c r="AP3" s="185">
        <v>0.24</v>
      </c>
      <c r="AQ3" s="185">
        <v>4.25</v>
      </c>
      <c r="AR3" s="185">
        <v>0.13</v>
      </c>
      <c r="AS3" s="185">
        <v>0.7</v>
      </c>
      <c r="AT3" s="185">
        <v>0.08</v>
      </c>
      <c r="AU3" s="185">
        <v>1.65</v>
      </c>
      <c r="AV3" s="185"/>
      <c r="AW3" s="185">
        <f>2.52</f>
        <v>2.52</v>
      </c>
      <c r="AX3" s="185">
        <f>20.05</f>
        <v>20.05</v>
      </c>
      <c r="AY3" s="186">
        <f>B3+D3+F3+H3+J3+L3+N3+P3+R3+T3+V3+X3+Z3+AB3+AD3+AF3+AH3+AJ3+AL3+AN3+AP3+AR3+AT3+AW3</f>
        <v>6.8900000000000006</v>
      </c>
      <c r="AZ3" s="186">
        <f>C3+E3+G3+I3+K3+M3+O3+Q3+S3+U3+W3+Y3+AA3+AC3+AE3+AG3+AI3+AK3+AM3+AO3+AQ3+AS3+AU3+AX3+AV3</f>
        <v>51.79</v>
      </c>
      <c r="BA3" s="201"/>
      <c r="BB3" s="201"/>
      <c r="BC3" s="201"/>
      <c r="BD3" s="201"/>
      <c r="BE3" s="201"/>
      <c r="BF3" s="201"/>
      <c r="BG3" s="201"/>
    </row>
    <row r="4" spans="1:59" ht="13.5" customHeight="1" x14ac:dyDescent="0.25">
      <c r="A4" s="184" t="s">
        <v>12</v>
      </c>
      <c r="B4" s="185">
        <v>17.398</v>
      </c>
      <c r="C4" s="185">
        <v>208.77799999999999</v>
      </c>
      <c r="D4" s="185">
        <v>4.6120000000000001</v>
      </c>
      <c r="E4" s="185">
        <v>54.921999999999997</v>
      </c>
      <c r="F4" s="185">
        <v>2.4180000000000001</v>
      </c>
      <c r="G4" s="185">
        <v>26.593</v>
      </c>
      <c r="H4" s="185">
        <v>58.026000000000003</v>
      </c>
      <c r="I4" s="185">
        <v>1160.527</v>
      </c>
      <c r="J4" s="185">
        <v>3.024</v>
      </c>
      <c r="K4" s="185">
        <v>45.366999999999997</v>
      </c>
      <c r="L4" s="185">
        <v>4.7E-2</v>
      </c>
      <c r="M4" s="185">
        <v>0.434</v>
      </c>
      <c r="N4" s="185">
        <v>2.7440000000000002</v>
      </c>
      <c r="O4" s="185">
        <v>50.268999999999998</v>
      </c>
      <c r="P4" s="185">
        <v>2.1880000000000002</v>
      </c>
      <c r="Q4" s="185">
        <v>93.498999999999995</v>
      </c>
      <c r="R4" s="185">
        <v>7.89</v>
      </c>
      <c r="S4" s="185">
        <v>157.798</v>
      </c>
      <c r="T4" s="185">
        <v>10.88</v>
      </c>
      <c r="U4" s="185">
        <v>167.24</v>
      </c>
      <c r="V4" s="185">
        <v>2.9670000000000001</v>
      </c>
      <c r="W4" s="185">
        <v>146.79499999999999</v>
      </c>
      <c r="X4" s="185">
        <v>3.99</v>
      </c>
      <c r="Y4" s="185">
        <v>103.95</v>
      </c>
      <c r="Z4" s="185">
        <v>44.094999999999999</v>
      </c>
      <c r="AA4" s="185">
        <v>661.41899999999998</v>
      </c>
      <c r="AB4" s="190">
        <v>55.808</v>
      </c>
      <c r="AC4" s="190">
        <v>1004.554</v>
      </c>
      <c r="AD4" s="185">
        <v>0.187</v>
      </c>
      <c r="AE4" s="185">
        <v>1.496</v>
      </c>
      <c r="AF4" s="185">
        <v>2.3690000000000002</v>
      </c>
      <c r="AG4" s="185">
        <v>23.687000000000001</v>
      </c>
      <c r="AH4" s="190">
        <v>2.5529999999999999</v>
      </c>
      <c r="AI4" s="190">
        <v>51.06</v>
      </c>
      <c r="AJ4" s="185">
        <v>0.29599999999999999</v>
      </c>
      <c r="AK4" s="185">
        <v>3.11</v>
      </c>
      <c r="AL4" s="185">
        <v>0.14699999999999999</v>
      </c>
      <c r="AM4" s="185">
        <v>2.7949999999999999</v>
      </c>
      <c r="AN4" s="185">
        <v>0.30099999999999999</v>
      </c>
      <c r="AO4" s="185">
        <v>6.02</v>
      </c>
      <c r="AP4" s="185">
        <v>18.260999999999999</v>
      </c>
      <c r="AQ4" s="185">
        <v>365.21199999999999</v>
      </c>
      <c r="AR4" s="185">
        <v>167.72300000000001</v>
      </c>
      <c r="AS4" s="185">
        <v>3354.4659999999999</v>
      </c>
      <c r="AT4" s="185">
        <v>5.6150000000000002</v>
      </c>
      <c r="AU4" s="185">
        <v>146.52500000000001</v>
      </c>
      <c r="AV4" s="185"/>
      <c r="AW4" s="185">
        <v>26.103999999999999</v>
      </c>
      <c r="AX4" s="185">
        <v>313.24599999999998</v>
      </c>
      <c r="AY4" s="186">
        <f t="shared" ref="AY4:AY37" si="0">B4+D4+F4+H4+J4+L4+N4+P4+R4+T4+V4+X4+Z4+AB4+AD4+AF4+AH4+AJ4+AL4+AN4+AP4+AR4+AT4+AW4</f>
        <v>439.64299999999997</v>
      </c>
      <c r="AZ4" s="186">
        <f t="shared" ref="AZ4:AZ37" si="1">C4+E4+G4+I4+K4+M4+O4+Q4+S4+U4+W4+Y4+AA4+AC4+AE4+AG4+AI4+AK4+AM4+AO4+AQ4+AS4+AU4+AX4+AV4</f>
        <v>8149.7619999999997</v>
      </c>
    </row>
    <row r="5" spans="1:59" ht="13.5" customHeight="1" x14ac:dyDescent="0.25">
      <c r="A5" s="187" t="s">
        <v>111</v>
      </c>
      <c r="B5" s="185"/>
      <c r="C5" s="185"/>
      <c r="D5" s="185"/>
      <c r="E5" s="185"/>
      <c r="F5" s="185"/>
      <c r="G5" s="185"/>
      <c r="H5" s="185"/>
      <c r="I5" s="185"/>
      <c r="J5" s="185">
        <v>0.4</v>
      </c>
      <c r="K5" s="185">
        <v>11</v>
      </c>
      <c r="L5" s="185"/>
      <c r="M5" s="185"/>
      <c r="N5" s="185"/>
      <c r="O5" s="185"/>
      <c r="P5" s="185">
        <v>0.25</v>
      </c>
      <c r="Q5" s="185">
        <v>5.75</v>
      </c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90"/>
      <c r="AC5" s="190"/>
      <c r="AD5" s="185"/>
      <c r="AE5" s="185"/>
      <c r="AF5" s="185"/>
      <c r="AG5" s="185"/>
      <c r="AH5" s="190"/>
      <c r="AI5" s="190"/>
      <c r="AJ5" s="185"/>
      <c r="AK5" s="185"/>
      <c r="AL5" s="185"/>
      <c r="AM5" s="185"/>
      <c r="AN5" s="185"/>
      <c r="AO5" s="185"/>
      <c r="AP5" s="185"/>
      <c r="AQ5" s="185"/>
      <c r="AR5" s="185">
        <v>0.5</v>
      </c>
      <c r="AS5" s="185">
        <v>13.5</v>
      </c>
      <c r="AT5" s="185"/>
      <c r="AU5" s="185"/>
      <c r="AV5" s="185"/>
      <c r="AW5" s="185">
        <v>0.25</v>
      </c>
      <c r="AX5" s="185">
        <v>4.75</v>
      </c>
      <c r="AY5" s="186">
        <f t="shared" si="0"/>
        <v>1.4</v>
      </c>
      <c r="AZ5" s="186">
        <f t="shared" si="1"/>
        <v>35</v>
      </c>
    </row>
    <row r="6" spans="1:59" ht="13.5" customHeight="1" x14ac:dyDescent="0.25">
      <c r="A6" s="184" t="s">
        <v>14</v>
      </c>
      <c r="B6" s="185"/>
      <c r="C6" s="185"/>
      <c r="D6" s="185">
        <v>5.2720000000000002</v>
      </c>
      <c r="E6" s="185">
        <v>49.899000000000001</v>
      </c>
      <c r="F6" s="185"/>
      <c r="G6" s="185"/>
      <c r="H6" s="185">
        <v>16.977</v>
      </c>
      <c r="I6" s="185">
        <v>270.69799999999998</v>
      </c>
      <c r="J6" s="185">
        <v>31.684999999999999</v>
      </c>
      <c r="K6" s="185">
        <v>656.67100000000005</v>
      </c>
      <c r="L6" s="185"/>
      <c r="M6" s="185"/>
      <c r="N6" s="185">
        <v>4.133</v>
      </c>
      <c r="O6" s="185">
        <v>65.094999999999999</v>
      </c>
      <c r="P6" s="185">
        <v>21.71</v>
      </c>
      <c r="Q6" s="185">
        <v>337.59</v>
      </c>
      <c r="R6" s="185">
        <v>6.59</v>
      </c>
      <c r="S6" s="185">
        <v>65.043000000000006</v>
      </c>
      <c r="T6" s="185"/>
      <c r="U6" s="185"/>
      <c r="V6" s="185"/>
      <c r="W6" s="185"/>
      <c r="X6" s="185"/>
      <c r="Y6" s="185"/>
      <c r="Z6" s="185">
        <v>11.635</v>
      </c>
      <c r="AA6" s="185">
        <v>170.976</v>
      </c>
      <c r="AB6" s="190">
        <v>7.4359999999999999</v>
      </c>
      <c r="AC6" s="190">
        <v>28.812000000000001</v>
      </c>
      <c r="AD6" s="185"/>
      <c r="AE6" s="185"/>
      <c r="AF6" s="185">
        <v>31.245999999999999</v>
      </c>
      <c r="AG6" s="185">
        <v>26.509</v>
      </c>
      <c r="AH6" s="190">
        <v>97.956000000000003</v>
      </c>
      <c r="AI6" s="190">
        <v>700.14400000000001</v>
      </c>
      <c r="AJ6" s="185">
        <v>20.12</v>
      </c>
      <c r="AK6" s="185">
        <v>193.95699999999999</v>
      </c>
      <c r="AL6" s="185"/>
      <c r="AM6" s="185"/>
      <c r="AN6" s="185">
        <v>6.0460000000000003</v>
      </c>
      <c r="AO6" s="185">
        <v>30.513000000000002</v>
      </c>
      <c r="AP6" s="185">
        <v>3.1280000000000001</v>
      </c>
      <c r="AQ6" s="185">
        <v>27.641999999999999</v>
      </c>
      <c r="AR6" s="185">
        <v>17.466000000000001</v>
      </c>
      <c r="AS6" s="185">
        <v>408.35500000000002</v>
      </c>
      <c r="AT6" s="185"/>
      <c r="AU6" s="185"/>
      <c r="AV6" s="185"/>
      <c r="AW6" s="185"/>
      <c r="AX6" s="185"/>
      <c r="AY6" s="186">
        <f t="shared" si="0"/>
        <v>281.40000000000003</v>
      </c>
      <c r="AZ6" s="186">
        <f t="shared" si="1"/>
        <v>3031.9039999999995</v>
      </c>
    </row>
    <row r="7" spans="1:59" ht="13.5" customHeight="1" x14ac:dyDescent="0.25">
      <c r="A7" s="184" t="s">
        <v>15</v>
      </c>
      <c r="B7" s="185">
        <v>14.098000000000001</v>
      </c>
      <c r="C7" s="185">
        <v>111.521</v>
      </c>
      <c r="D7" s="185">
        <v>9.6760000000000002</v>
      </c>
      <c r="E7" s="185">
        <v>70.006</v>
      </c>
      <c r="F7" s="185">
        <v>31.734000000000002</v>
      </c>
      <c r="G7" s="185">
        <v>658.10699999999997</v>
      </c>
      <c r="H7" s="185">
        <v>57.491999999999997</v>
      </c>
      <c r="I7" s="185">
        <v>1240.4860000000001</v>
      </c>
      <c r="J7" s="185">
        <v>39.997</v>
      </c>
      <c r="K7" s="185">
        <v>734.98199999999997</v>
      </c>
      <c r="L7" s="185"/>
      <c r="M7" s="185"/>
      <c r="N7" s="185">
        <v>4.633</v>
      </c>
      <c r="O7" s="185">
        <v>54.337000000000003</v>
      </c>
      <c r="P7" s="185">
        <v>65.728999999999999</v>
      </c>
      <c r="Q7" s="185">
        <v>1147.7639999999999</v>
      </c>
      <c r="R7" s="185">
        <v>2.0640000000000001</v>
      </c>
      <c r="S7" s="185">
        <v>22.884</v>
      </c>
      <c r="T7" s="185">
        <v>39.491999999999997</v>
      </c>
      <c r="U7" s="185">
        <v>478.12900000000002</v>
      </c>
      <c r="V7" s="185">
        <v>0.69499999999999995</v>
      </c>
      <c r="W7" s="185">
        <v>32.219000000000001</v>
      </c>
      <c r="X7" s="185">
        <v>1.131</v>
      </c>
      <c r="Y7" s="185">
        <v>14.153</v>
      </c>
      <c r="Z7" s="185">
        <v>58.076999999999998</v>
      </c>
      <c r="AA7" s="185">
        <v>783.54300000000001</v>
      </c>
      <c r="AB7" s="190">
        <v>54.32</v>
      </c>
      <c r="AC7" s="190">
        <v>1304.1600000000001</v>
      </c>
      <c r="AD7" s="185">
        <v>6.4569999999999999</v>
      </c>
      <c r="AE7" s="185">
        <v>69.475999999999999</v>
      </c>
      <c r="AF7" s="185">
        <v>10.162000000000001</v>
      </c>
      <c r="AG7" s="185">
        <v>67.152000000000001</v>
      </c>
      <c r="AH7" s="190">
        <v>318.45299999999997</v>
      </c>
      <c r="AI7" s="190">
        <v>6536</v>
      </c>
      <c r="AJ7" s="185">
        <v>16.012</v>
      </c>
      <c r="AK7" s="185">
        <v>252.345</v>
      </c>
      <c r="AL7" s="185">
        <v>0.57499999999999996</v>
      </c>
      <c r="AM7" s="185">
        <v>13.157</v>
      </c>
      <c r="AN7" s="185">
        <v>0.85</v>
      </c>
      <c r="AO7" s="185">
        <v>8.3160000000000007</v>
      </c>
      <c r="AP7" s="185"/>
      <c r="AQ7" s="185"/>
      <c r="AR7" s="185">
        <v>47.691000000000003</v>
      </c>
      <c r="AS7" s="185">
        <v>1061.771</v>
      </c>
      <c r="AT7" s="185">
        <v>1.413</v>
      </c>
      <c r="AU7" s="185">
        <v>30.672000000000001</v>
      </c>
      <c r="AV7" s="185">
        <v>6.3E-2</v>
      </c>
      <c r="AW7" s="185">
        <v>29.047999999999998</v>
      </c>
      <c r="AX7" s="185">
        <v>406.52300000000002</v>
      </c>
      <c r="AY7" s="186">
        <f t="shared" si="0"/>
        <v>809.79900000000009</v>
      </c>
      <c r="AZ7" s="186">
        <f t="shared" si="1"/>
        <v>15097.765999999998</v>
      </c>
    </row>
    <row r="8" spans="1:59" ht="13.5" customHeight="1" x14ac:dyDescent="0.25">
      <c r="A8" s="184" t="s">
        <v>55</v>
      </c>
      <c r="B8" s="185">
        <v>5.98</v>
      </c>
      <c r="C8" s="185">
        <v>51.35</v>
      </c>
      <c r="D8" s="185">
        <v>9.11</v>
      </c>
      <c r="E8" s="185">
        <v>117.46</v>
      </c>
      <c r="F8" s="185">
        <v>11.53</v>
      </c>
      <c r="G8" s="185">
        <v>207.7</v>
      </c>
      <c r="H8" s="185">
        <v>33.07</v>
      </c>
      <c r="I8" s="185">
        <v>585.98</v>
      </c>
      <c r="J8" s="185">
        <v>18.59</v>
      </c>
      <c r="K8" s="185">
        <v>338.56</v>
      </c>
      <c r="L8" s="185"/>
      <c r="M8" s="185"/>
      <c r="N8" s="185">
        <v>1.23</v>
      </c>
      <c r="O8" s="185">
        <v>18.510000000000002</v>
      </c>
      <c r="P8" s="185">
        <v>21.43</v>
      </c>
      <c r="Q8" s="185">
        <v>395.77</v>
      </c>
      <c r="R8" s="185"/>
      <c r="S8" s="185"/>
      <c r="T8" s="185"/>
      <c r="U8" s="185"/>
      <c r="V8" s="185"/>
      <c r="W8" s="185"/>
      <c r="X8" s="185">
        <v>1.3</v>
      </c>
      <c r="Y8" s="185">
        <v>10.220000000000001</v>
      </c>
      <c r="Z8" s="185">
        <v>27.8</v>
      </c>
      <c r="AA8" s="185">
        <v>430.63</v>
      </c>
      <c r="AB8" s="190">
        <v>20.079999999999998</v>
      </c>
      <c r="AC8" s="190">
        <v>309.54000000000002</v>
      </c>
      <c r="AD8" s="185">
        <v>2.42</v>
      </c>
      <c r="AE8" s="185">
        <v>29.8</v>
      </c>
      <c r="AF8" s="185"/>
      <c r="AG8" s="185"/>
      <c r="AH8" s="190">
        <v>37.89</v>
      </c>
      <c r="AI8" s="190">
        <v>556.4</v>
      </c>
      <c r="AJ8" s="185">
        <v>9.77</v>
      </c>
      <c r="AK8" s="185">
        <v>179.04</v>
      </c>
      <c r="AL8" s="185">
        <v>5.04</v>
      </c>
      <c r="AM8" s="185">
        <v>65.39</v>
      </c>
      <c r="AN8" s="185">
        <v>3.37</v>
      </c>
      <c r="AO8" s="185">
        <v>35.770000000000003</v>
      </c>
      <c r="AP8" s="185"/>
      <c r="AQ8" s="185"/>
      <c r="AR8" s="185">
        <v>50.38</v>
      </c>
      <c r="AS8" s="185">
        <v>814.22</v>
      </c>
      <c r="AT8" s="185">
        <v>2.08</v>
      </c>
      <c r="AU8" s="185">
        <v>17.11</v>
      </c>
      <c r="AV8" s="185"/>
      <c r="AW8" s="185">
        <v>142.36000000000001</v>
      </c>
      <c r="AX8" s="185">
        <v>1302.47</v>
      </c>
      <c r="AY8" s="186">
        <f t="shared" si="0"/>
        <v>403.43</v>
      </c>
      <c r="AZ8" s="186">
        <f t="shared" si="1"/>
        <v>5465.92</v>
      </c>
    </row>
    <row r="9" spans="1:59" s="201" customFormat="1" ht="13.5" customHeight="1" x14ac:dyDescent="0.25">
      <c r="A9" s="184" t="s">
        <v>16</v>
      </c>
      <c r="B9" s="185"/>
      <c r="C9" s="185"/>
      <c r="D9" s="185"/>
      <c r="E9" s="185"/>
      <c r="F9" s="185"/>
      <c r="G9" s="185"/>
      <c r="H9" s="185">
        <v>0.5</v>
      </c>
      <c r="I9" s="185">
        <v>2.2000000000000002</v>
      </c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90"/>
      <c r="AC9" s="190"/>
      <c r="AD9" s="185"/>
      <c r="AE9" s="185"/>
      <c r="AF9" s="185"/>
      <c r="AG9" s="185"/>
      <c r="AH9" s="190"/>
      <c r="AI9" s="190"/>
      <c r="AJ9" s="185"/>
      <c r="AK9" s="185"/>
      <c r="AL9" s="185"/>
      <c r="AM9" s="185"/>
      <c r="AN9" s="185"/>
      <c r="AO9" s="185"/>
      <c r="AP9" s="185"/>
      <c r="AQ9" s="185"/>
      <c r="AR9" s="185">
        <v>0.4</v>
      </c>
      <c r="AS9" s="185">
        <v>1.8</v>
      </c>
      <c r="AT9" s="185"/>
      <c r="AU9" s="185"/>
      <c r="AV9" s="185"/>
      <c r="AW9" s="185">
        <v>0.2</v>
      </c>
      <c r="AX9" s="185">
        <v>1.5</v>
      </c>
      <c r="AY9" s="186">
        <f t="shared" si="0"/>
        <v>1.1000000000000001</v>
      </c>
      <c r="AZ9" s="186">
        <f t="shared" si="1"/>
        <v>5.5</v>
      </c>
    </row>
    <row r="10" spans="1:59" ht="13.5" customHeight="1" x14ac:dyDescent="0.25">
      <c r="A10" s="184" t="s">
        <v>17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90"/>
      <c r="AC10" s="190"/>
      <c r="AD10" s="185"/>
      <c r="AE10" s="185"/>
      <c r="AF10" s="185"/>
      <c r="AG10" s="185"/>
      <c r="AH10" s="190"/>
      <c r="AI10" s="190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6">
        <f t="shared" si="0"/>
        <v>0</v>
      </c>
      <c r="AZ10" s="186">
        <f t="shared" si="1"/>
        <v>0</v>
      </c>
    </row>
    <row r="11" spans="1:59" ht="13.5" customHeight="1" x14ac:dyDescent="0.25">
      <c r="A11" s="184" t="s">
        <v>18</v>
      </c>
      <c r="B11" s="185"/>
      <c r="C11" s="185"/>
      <c r="D11" s="185">
        <v>0.76600000000000001</v>
      </c>
      <c r="E11" s="185">
        <v>12.073</v>
      </c>
      <c r="F11" s="185">
        <v>1.226</v>
      </c>
      <c r="G11" s="185">
        <v>18.986999999999998</v>
      </c>
      <c r="H11" s="185">
        <v>1.121</v>
      </c>
      <c r="I11" s="185">
        <v>16.869</v>
      </c>
      <c r="J11" s="185"/>
      <c r="K11" s="185"/>
      <c r="L11" s="185"/>
      <c r="M11" s="185"/>
      <c r="N11" s="185">
        <v>1.1859999999999999</v>
      </c>
      <c r="O11" s="185">
        <v>25.776</v>
      </c>
      <c r="P11" s="185">
        <v>2.028</v>
      </c>
      <c r="Q11" s="185">
        <v>36.561</v>
      </c>
      <c r="R11" s="185">
        <v>0.64600000000000002</v>
      </c>
      <c r="S11" s="185">
        <v>8.7309999999999999</v>
      </c>
      <c r="T11" s="185"/>
      <c r="U11" s="185"/>
      <c r="V11" s="185"/>
      <c r="W11" s="185"/>
      <c r="X11" s="185"/>
      <c r="Y11" s="185"/>
      <c r="Z11" s="185">
        <v>0.93899999999999995</v>
      </c>
      <c r="AA11" s="185">
        <v>14.097</v>
      </c>
      <c r="AB11" s="190">
        <v>0.78100000000000003</v>
      </c>
      <c r="AC11" s="190">
        <v>17.067</v>
      </c>
      <c r="AD11" s="185"/>
      <c r="AE11" s="185"/>
      <c r="AF11" s="185">
        <v>4.3099999999999996</v>
      </c>
      <c r="AG11" s="185">
        <v>55.618000000000002</v>
      </c>
      <c r="AH11" s="190">
        <v>0.67800000000000005</v>
      </c>
      <c r="AI11" s="190">
        <v>15.72</v>
      </c>
      <c r="AJ11" s="185">
        <v>2.464</v>
      </c>
      <c r="AK11" s="185">
        <v>41.110999999999997</v>
      </c>
      <c r="AL11" s="185"/>
      <c r="AM11" s="185"/>
      <c r="AN11" s="185"/>
      <c r="AO11" s="185"/>
      <c r="AP11" s="185"/>
      <c r="AQ11" s="185"/>
      <c r="AR11" s="185">
        <v>0.90900000000000003</v>
      </c>
      <c r="AS11" s="185">
        <v>14.198</v>
      </c>
      <c r="AT11" s="185"/>
      <c r="AU11" s="185"/>
      <c r="AV11" s="185"/>
      <c r="AW11" s="185">
        <v>10.242000000000001</v>
      </c>
      <c r="AX11" s="185">
        <v>160.13999999999999</v>
      </c>
      <c r="AY11" s="186">
        <f t="shared" si="0"/>
        <v>27.295999999999999</v>
      </c>
      <c r="AZ11" s="186">
        <f t="shared" si="1"/>
        <v>436.94799999999998</v>
      </c>
    </row>
    <row r="12" spans="1:59" ht="13.5" customHeight="1" x14ac:dyDescent="0.25">
      <c r="A12" s="184" t="s">
        <v>19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90"/>
      <c r="AC12" s="190"/>
      <c r="AD12" s="185"/>
      <c r="AE12" s="185"/>
      <c r="AF12" s="185"/>
      <c r="AG12" s="185"/>
      <c r="AH12" s="190"/>
      <c r="AI12" s="190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>
        <v>7.0039999999999996</v>
      </c>
      <c r="AX12" s="185">
        <v>79.92</v>
      </c>
      <c r="AY12" s="186">
        <f t="shared" si="0"/>
        <v>7.0039999999999996</v>
      </c>
      <c r="AZ12" s="186">
        <f t="shared" si="1"/>
        <v>79.92</v>
      </c>
    </row>
    <row r="13" spans="1:59" ht="13.5" customHeight="1" x14ac:dyDescent="0.25">
      <c r="A13" s="184" t="s">
        <v>20</v>
      </c>
      <c r="B13" s="185"/>
      <c r="C13" s="185"/>
      <c r="D13" s="185"/>
      <c r="E13" s="185"/>
      <c r="F13" s="185"/>
      <c r="G13" s="185"/>
      <c r="H13" s="185">
        <v>76.010000000000005</v>
      </c>
      <c r="I13" s="185">
        <v>1476.99</v>
      </c>
      <c r="J13" s="185">
        <v>30.35</v>
      </c>
      <c r="K13" s="185">
        <v>661.4</v>
      </c>
      <c r="L13" s="185"/>
      <c r="M13" s="185"/>
      <c r="N13" s="185"/>
      <c r="O13" s="185"/>
      <c r="P13" s="185">
        <v>27.7</v>
      </c>
      <c r="Q13" s="185">
        <v>601.48</v>
      </c>
      <c r="R13" s="185"/>
      <c r="S13" s="185"/>
      <c r="T13" s="185"/>
      <c r="U13" s="185"/>
      <c r="V13" s="185"/>
      <c r="W13" s="185"/>
      <c r="X13" s="185"/>
      <c r="Y13" s="185"/>
      <c r="Z13" s="185">
        <v>65.989999999999995</v>
      </c>
      <c r="AA13" s="185">
        <v>759.04</v>
      </c>
      <c r="AB13" s="190">
        <v>72.790000000000006</v>
      </c>
      <c r="AC13" s="190">
        <v>1851.22</v>
      </c>
      <c r="AD13" s="185"/>
      <c r="AE13" s="185"/>
      <c r="AF13" s="185"/>
      <c r="AG13" s="185"/>
      <c r="AH13" s="190">
        <v>73.64</v>
      </c>
      <c r="AI13" s="190">
        <v>2267.38</v>
      </c>
      <c r="AJ13" s="185"/>
      <c r="AK13" s="185"/>
      <c r="AL13" s="185"/>
      <c r="AM13" s="185"/>
      <c r="AN13" s="185"/>
      <c r="AO13" s="185"/>
      <c r="AP13" s="185"/>
      <c r="AQ13" s="185"/>
      <c r="AR13" s="185">
        <v>44.57</v>
      </c>
      <c r="AS13" s="185">
        <v>1259.01</v>
      </c>
      <c r="AT13" s="185"/>
      <c r="AU13" s="185"/>
      <c r="AV13" s="185"/>
      <c r="AW13" s="185">
        <v>191.23</v>
      </c>
      <c r="AX13" s="185">
        <v>2694.72</v>
      </c>
      <c r="AY13" s="186">
        <f t="shared" si="0"/>
        <v>582.28</v>
      </c>
      <c r="AZ13" s="186">
        <f t="shared" si="1"/>
        <v>11571.24</v>
      </c>
    </row>
    <row r="14" spans="1:59" ht="13.5" customHeight="1" x14ac:dyDescent="0.25">
      <c r="A14" s="184" t="s">
        <v>21</v>
      </c>
      <c r="B14" s="185"/>
      <c r="C14" s="185"/>
      <c r="D14" s="185"/>
      <c r="E14" s="185"/>
      <c r="F14" s="185"/>
      <c r="G14" s="185"/>
      <c r="H14" s="185">
        <v>19</v>
      </c>
      <c r="I14" s="185">
        <v>400.78</v>
      </c>
      <c r="J14" s="185">
        <v>14.8</v>
      </c>
      <c r="K14" s="185">
        <v>241.13</v>
      </c>
      <c r="L14" s="185"/>
      <c r="M14" s="185"/>
      <c r="N14" s="185">
        <v>17.86</v>
      </c>
      <c r="O14" s="185">
        <v>276.81</v>
      </c>
      <c r="P14" s="185">
        <v>30.3</v>
      </c>
      <c r="Q14" s="185">
        <v>526.49</v>
      </c>
      <c r="R14" s="185"/>
      <c r="S14" s="185"/>
      <c r="T14" s="185">
        <v>16.84</v>
      </c>
      <c r="U14" s="185">
        <v>103.1</v>
      </c>
      <c r="V14" s="185"/>
      <c r="W14" s="185"/>
      <c r="X14" s="185"/>
      <c r="Y14" s="185"/>
      <c r="Z14" s="185">
        <v>23.48</v>
      </c>
      <c r="AA14" s="185">
        <v>186.3</v>
      </c>
      <c r="AB14" s="190">
        <v>30.16</v>
      </c>
      <c r="AC14" s="190">
        <v>672.17</v>
      </c>
      <c r="AD14" s="185"/>
      <c r="AE14" s="185"/>
      <c r="AF14" s="185">
        <v>15.4</v>
      </c>
      <c r="AG14" s="185">
        <v>108.82</v>
      </c>
      <c r="AH14" s="190">
        <v>29.97</v>
      </c>
      <c r="AI14" s="190">
        <v>696.51</v>
      </c>
      <c r="AJ14" s="185">
        <v>29.39</v>
      </c>
      <c r="AK14" s="185">
        <v>447.73</v>
      </c>
      <c r="AL14" s="185"/>
      <c r="AM14" s="185"/>
      <c r="AN14" s="185"/>
      <c r="AO14" s="185"/>
      <c r="AP14" s="185"/>
      <c r="AQ14" s="185"/>
      <c r="AR14" s="185">
        <v>29.42</v>
      </c>
      <c r="AS14" s="185">
        <v>627.28</v>
      </c>
      <c r="AT14" s="189"/>
      <c r="AU14" s="189"/>
      <c r="AV14" s="185"/>
      <c r="AW14" s="185">
        <f>67.38+1.01+32.13+16.03</f>
        <v>116.55000000000001</v>
      </c>
      <c r="AX14" s="185">
        <f>742.43+8.14+364.61+163.6</f>
        <v>1278.7799999999997</v>
      </c>
      <c r="AY14" s="186">
        <f t="shared" si="0"/>
        <v>373.17</v>
      </c>
      <c r="AZ14" s="186">
        <f t="shared" si="1"/>
        <v>5565.9</v>
      </c>
    </row>
    <row r="15" spans="1:59" ht="13.5" customHeight="1" x14ac:dyDescent="0.25">
      <c r="A15" s="184" t="s">
        <v>22</v>
      </c>
      <c r="B15" s="185">
        <v>3.7490000000000001</v>
      </c>
      <c r="C15" s="185">
        <v>46.372</v>
      </c>
      <c r="D15" s="185"/>
      <c r="E15" s="185"/>
      <c r="F15" s="185"/>
      <c r="G15" s="185"/>
      <c r="H15" s="185">
        <v>1.1599999999999999</v>
      </c>
      <c r="I15" s="185">
        <v>26.681999999999999</v>
      </c>
      <c r="J15" s="185">
        <v>4.5599999999999996</v>
      </c>
      <c r="K15" s="185">
        <v>153.81100000000001</v>
      </c>
      <c r="L15" s="185">
        <v>2.2429999999999999</v>
      </c>
      <c r="M15" s="185">
        <v>39.5</v>
      </c>
      <c r="N15" s="185">
        <v>0.32100000000000001</v>
      </c>
      <c r="O15" s="185">
        <v>6.0590000000000002</v>
      </c>
      <c r="P15" s="185">
        <v>4.5259999999999998</v>
      </c>
      <c r="Q15" s="185">
        <v>100.071</v>
      </c>
      <c r="R15" s="185"/>
      <c r="S15" s="185"/>
      <c r="T15" s="185">
        <v>1.101</v>
      </c>
      <c r="U15" s="185">
        <v>13.532</v>
      </c>
      <c r="V15" s="185"/>
      <c r="W15" s="185"/>
      <c r="X15" s="185"/>
      <c r="Y15" s="185"/>
      <c r="Z15" s="185">
        <v>2.7559999999999998</v>
      </c>
      <c r="AA15" s="185">
        <v>34.027999999999999</v>
      </c>
      <c r="AB15" s="190">
        <v>2.3380000000000001</v>
      </c>
      <c r="AC15" s="190">
        <v>43.706000000000003</v>
      </c>
      <c r="AD15" s="185"/>
      <c r="AE15" s="185"/>
      <c r="AF15" s="185">
        <v>23.904</v>
      </c>
      <c r="AG15" s="185">
        <v>271.05700000000002</v>
      </c>
      <c r="AH15" s="190">
        <v>19.199000000000002</v>
      </c>
      <c r="AI15" s="190">
        <v>243.26300000000001</v>
      </c>
      <c r="AJ15" s="185">
        <v>1.6819999999999999</v>
      </c>
      <c r="AK15" s="185">
        <v>32.973999999999997</v>
      </c>
      <c r="AL15" s="185"/>
      <c r="AM15" s="185"/>
      <c r="AN15" s="185"/>
      <c r="AO15" s="185"/>
      <c r="AP15" s="185"/>
      <c r="AQ15" s="185"/>
      <c r="AR15" s="185">
        <v>10.372999999999999</v>
      </c>
      <c r="AS15" s="185">
        <v>430.78899999999999</v>
      </c>
      <c r="AT15" s="185"/>
      <c r="AU15" s="185"/>
      <c r="AV15" s="185"/>
      <c r="AW15" s="189">
        <f>5.528+0.539+2.621</f>
        <v>8.6879999999999988</v>
      </c>
      <c r="AX15" s="185">
        <f>118.275+12.377+63.379</f>
        <v>194.03100000000001</v>
      </c>
      <c r="AY15" s="186">
        <f t="shared" si="0"/>
        <v>86.600000000000009</v>
      </c>
      <c r="AZ15" s="186">
        <f t="shared" si="1"/>
        <v>1635.875</v>
      </c>
    </row>
    <row r="16" spans="1:59" ht="13.5" customHeight="1" x14ac:dyDescent="0.25">
      <c r="A16" s="184" t="s">
        <v>222</v>
      </c>
      <c r="B16" s="185">
        <v>1.7830000000000001</v>
      </c>
      <c r="C16" s="185">
        <v>32.681999999999995</v>
      </c>
      <c r="D16" s="185">
        <v>0.627</v>
      </c>
      <c r="E16" s="185">
        <v>10.14</v>
      </c>
      <c r="F16" s="185">
        <v>1.597</v>
      </c>
      <c r="G16" s="185">
        <v>36.167999999999999</v>
      </c>
      <c r="H16" s="185">
        <v>2.0230000000000001</v>
      </c>
      <c r="I16" s="185">
        <v>45.237000000000002</v>
      </c>
      <c r="J16" s="185">
        <v>2.488</v>
      </c>
      <c r="K16" s="185">
        <v>73.225999999999999</v>
      </c>
      <c r="L16" s="185">
        <v>1.0489999999999999</v>
      </c>
      <c r="M16" s="185">
        <v>23.158999999999999</v>
      </c>
      <c r="N16" s="185">
        <v>1.35</v>
      </c>
      <c r="O16" s="185">
        <v>33.332999999999998</v>
      </c>
      <c r="P16" s="185">
        <v>3.254</v>
      </c>
      <c r="Q16" s="185">
        <v>85.262</v>
      </c>
      <c r="R16" s="185">
        <v>1.6419999999999999</v>
      </c>
      <c r="S16" s="185">
        <v>64.507999999999996</v>
      </c>
      <c r="T16" s="185"/>
      <c r="U16" s="185"/>
      <c r="V16" s="185"/>
      <c r="W16" s="185"/>
      <c r="X16" s="185">
        <v>0.13</v>
      </c>
      <c r="Y16" s="185">
        <v>2.9020000000000001</v>
      </c>
      <c r="Z16" s="185">
        <v>2.5169999999999999</v>
      </c>
      <c r="AA16" s="185">
        <v>42.99</v>
      </c>
      <c r="AB16" s="190">
        <v>2.8450000000000002</v>
      </c>
      <c r="AC16" s="190">
        <v>65.266000000000005</v>
      </c>
      <c r="AD16" s="185"/>
      <c r="AE16" s="185"/>
      <c r="AF16" s="185">
        <v>2.7930000000000001</v>
      </c>
      <c r="AG16" s="185">
        <v>58.081000000000003</v>
      </c>
      <c r="AH16" s="190">
        <v>6.9089999999999998</v>
      </c>
      <c r="AI16" s="190">
        <v>127.244</v>
      </c>
      <c r="AJ16" s="185">
        <v>3.63</v>
      </c>
      <c r="AK16" s="185">
        <v>81.444999999999993</v>
      </c>
      <c r="AL16" s="185">
        <v>0.629</v>
      </c>
      <c r="AM16" s="185">
        <v>15.702</v>
      </c>
      <c r="AN16" s="185"/>
      <c r="AO16" s="185"/>
      <c r="AP16" s="185"/>
      <c r="AQ16" s="185"/>
      <c r="AR16" s="185">
        <v>3.5760000000000001</v>
      </c>
      <c r="AS16" s="185">
        <v>88.084999999999994</v>
      </c>
      <c r="AT16" s="185">
        <v>0.29699999999999999</v>
      </c>
      <c r="AU16" s="185">
        <v>6.2050000000000001</v>
      </c>
      <c r="AV16" s="185"/>
      <c r="AW16" s="185">
        <v>23.918000000000003</v>
      </c>
      <c r="AX16" s="185">
        <v>503.83699999999999</v>
      </c>
      <c r="AY16" s="186">
        <f t="shared" si="0"/>
        <v>63.056999999999988</v>
      </c>
      <c r="AZ16" s="186">
        <f t="shared" si="1"/>
        <v>1395.4720000000002</v>
      </c>
    </row>
    <row r="17" spans="1:52" ht="13.5" customHeight="1" x14ac:dyDescent="0.25">
      <c r="A17" s="184" t="s">
        <v>24</v>
      </c>
      <c r="B17" s="185">
        <v>13.07</v>
      </c>
      <c r="C17" s="185">
        <v>202.6</v>
      </c>
      <c r="D17" s="185">
        <v>0.67</v>
      </c>
      <c r="E17" s="185">
        <v>6.05</v>
      </c>
      <c r="F17" s="185">
        <v>0.37</v>
      </c>
      <c r="G17" s="185">
        <v>5.43</v>
      </c>
      <c r="H17" s="185">
        <v>21.202000000000002</v>
      </c>
      <c r="I17" s="185">
        <v>272.45999999999998</v>
      </c>
      <c r="J17" s="185">
        <v>30.18</v>
      </c>
      <c r="K17" s="185">
        <v>471.3</v>
      </c>
      <c r="L17" s="185">
        <v>18.579999999999998</v>
      </c>
      <c r="M17" s="185">
        <v>17.3</v>
      </c>
      <c r="N17" s="185">
        <v>0.65</v>
      </c>
      <c r="O17" s="185">
        <v>6.97</v>
      </c>
      <c r="P17" s="185">
        <v>23.126999999999999</v>
      </c>
      <c r="Q17" s="185">
        <v>364.5</v>
      </c>
      <c r="R17" s="185">
        <v>0.37</v>
      </c>
      <c r="S17" s="185">
        <v>25.7</v>
      </c>
      <c r="T17" s="185">
        <v>21.15</v>
      </c>
      <c r="U17" s="185">
        <v>285.14999999999998</v>
      </c>
      <c r="V17" s="185"/>
      <c r="W17" s="185"/>
      <c r="X17" s="185"/>
      <c r="Y17" s="185"/>
      <c r="Z17" s="185">
        <v>32.526000000000003</v>
      </c>
      <c r="AA17" s="185">
        <v>447.40600000000001</v>
      </c>
      <c r="AB17" s="190">
        <v>16.22</v>
      </c>
      <c r="AC17" s="190">
        <v>320.52999999999997</v>
      </c>
      <c r="AD17" s="185"/>
      <c r="AE17" s="185"/>
      <c r="AF17" s="185">
        <v>24.137</v>
      </c>
      <c r="AG17" s="185">
        <v>359.28</v>
      </c>
      <c r="AH17" s="190">
        <v>49.056699999999999</v>
      </c>
      <c r="AI17" s="190">
        <v>653.12400000000002</v>
      </c>
      <c r="AJ17" s="185">
        <v>0.41</v>
      </c>
      <c r="AK17" s="185">
        <v>7.0259999999999998</v>
      </c>
      <c r="AL17" s="185">
        <v>1.347</v>
      </c>
      <c r="AM17" s="185">
        <v>25.535</v>
      </c>
      <c r="AN17" s="185"/>
      <c r="AO17" s="185"/>
      <c r="AP17" s="185"/>
      <c r="AQ17" s="185"/>
      <c r="AR17" s="185">
        <v>26.39</v>
      </c>
      <c r="AS17" s="185">
        <v>251.44</v>
      </c>
      <c r="AT17" s="185"/>
      <c r="AU17" s="185"/>
      <c r="AV17" s="185"/>
      <c r="AW17" s="185">
        <v>34.154000000000003</v>
      </c>
      <c r="AX17" s="185">
        <v>516.33000000000004</v>
      </c>
      <c r="AY17" s="186">
        <f t="shared" si="0"/>
        <v>313.60970000000003</v>
      </c>
      <c r="AZ17" s="186">
        <f t="shared" si="1"/>
        <v>4238.1309999999994</v>
      </c>
    </row>
    <row r="18" spans="1:52" ht="13.5" customHeight="1" x14ac:dyDescent="0.25">
      <c r="A18" s="184" t="s">
        <v>25</v>
      </c>
      <c r="B18" s="185">
        <v>12.66</v>
      </c>
      <c r="C18" s="185">
        <v>132.22</v>
      </c>
      <c r="D18" s="185">
        <v>3.13</v>
      </c>
      <c r="E18" s="185">
        <v>34.14</v>
      </c>
      <c r="F18" s="185">
        <v>0.57999999999999996</v>
      </c>
      <c r="G18" s="185">
        <v>7.56</v>
      </c>
      <c r="H18" s="185">
        <v>15.83</v>
      </c>
      <c r="I18" s="185">
        <v>402.51</v>
      </c>
      <c r="J18" s="185">
        <v>10.029999999999999</v>
      </c>
      <c r="K18" s="185">
        <v>212.82</v>
      </c>
      <c r="L18" s="185">
        <v>3.19</v>
      </c>
      <c r="M18" s="185">
        <v>49.08</v>
      </c>
      <c r="N18" s="185">
        <v>4.83</v>
      </c>
      <c r="O18" s="185">
        <v>90.71</v>
      </c>
      <c r="P18" s="185">
        <v>4.87</v>
      </c>
      <c r="Q18" s="185">
        <v>84.87</v>
      </c>
      <c r="R18" s="185">
        <v>6.82</v>
      </c>
      <c r="S18" s="185">
        <v>107.59</v>
      </c>
      <c r="T18" s="185">
        <v>43.66</v>
      </c>
      <c r="U18" s="185">
        <v>596.13</v>
      </c>
      <c r="V18" s="185"/>
      <c r="W18" s="185"/>
      <c r="X18" s="185">
        <v>0.84</v>
      </c>
      <c r="Y18" s="185">
        <v>13.03</v>
      </c>
      <c r="Z18" s="185">
        <v>9.26</v>
      </c>
      <c r="AA18" s="185">
        <v>77.099999999999994</v>
      </c>
      <c r="AB18" s="185">
        <v>136.57</v>
      </c>
      <c r="AC18" s="185">
        <v>2065.16</v>
      </c>
      <c r="AD18" s="185"/>
      <c r="AE18" s="185"/>
      <c r="AF18" s="185">
        <v>1.36</v>
      </c>
      <c r="AG18" s="185">
        <v>20.03</v>
      </c>
      <c r="AH18" s="190">
        <v>40.71</v>
      </c>
      <c r="AI18" s="190">
        <v>539.70000000000005</v>
      </c>
      <c r="AJ18" s="185">
        <v>5.66</v>
      </c>
      <c r="AK18" s="185">
        <v>63.04</v>
      </c>
      <c r="AL18" s="185">
        <v>2.41</v>
      </c>
      <c r="AM18" s="185">
        <v>55.83</v>
      </c>
      <c r="AN18" s="185">
        <v>2.31</v>
      </c>
      <c r="AO18" s="185">
        <v>34.15</v>
      </c>
      <c r="AP18" s="185">
        <v>1.1599999999999999</v>
      </c>
      <c r="AQ18" s="185">
        <v>13.47</v>
      </c>
      <c r="AR18" s="185">
        <v>61.04</v>
      </c>
      <c r="AS18" s="185">
        <v>2068.38</v>
      </c>
      <c r="AT18" s="185">
        <v>9.5</v>
      </c>
      <c r="AU18" s="185">
        <v>317.29000000000002</v>
      </c>
      <c r="AV18" s="185"/>
      <c r="AW18" s="185">
        <f>41.8+0.47</f>
        <v>42.269999999999996</v>
      </c>
      <c r="AX18" s="185">
        <f>494.12+21.76</f>
        <v>515.88</v>
      </c>
      <c r="AY18" s="186">
        <f t="shared" si="0"/>
        <v>418.69000000000005</v>
      </c>
      <c r="AZ18" s="186">
        <f t="shared" si="1"/>
        <v>7500.6900000000005</v>
      </c>
    </row>
    <row r="19" spans="1:52" ht="13.5" customHeight="1" x14ac:dyDescent="0.25">
      <c r="A19" s="184" t="s">
        <v>26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90"/>
      <c r="AC19" s="190"/>
      <c r="AD19" s="185"/>
      <c r="AE19" s="185"/>
      <c r="AF19" s="185"/>
      <c r="AG19" s="185"/>
      <c r="AH19" s="190">
        <v>0.47499999999999998</v>
      </c>
      <c r="AI19" s="190">
        <v>8.1059999999999999</v>
      </c>
      <c r="AJ19" s="185"/>
      <c r="AK19" s="185"/>
      <c r="AL19" s="185"/>
      <c r="AM19" s="185"/>
      <c r="AN19" s="185">
        <v>0.245</v>
      </c>
      <c r="AO19" s="185">
        <v>4.3849999999999998</v>
      </c>
      <c r="AP19" s="185">
        <v>71.073999999999998</v>
      </c>
      <c r="AQ19" s="185">
        <v>2581.3820000000001</v>
      </c>
      <c r="AR19" s="185"/>
      <c r="AS19" s="185"/>
      <c r="AT19" s="185"/>
      <c r="AU19" s="185"/>
      <c r="AV19" s="185"/>
      <c r="AW19" s="185">
        <v>75.900000000000006</v>
      </c>
      <c r="AX19" s="185">
        <v>978.8</v>
      </c>
      <c r="AY19" s="186">
        <f t="shared" si="0"/>
        <v>147.69400000000002</v>
      </c>
      <c r="AZ19" s="186">
        <f t="shared" si="1"/>
        <v>3572.6729999999998</v>
      </c>
    </row>
    <row r="20" spans="1:52" ht="13.5" customHeight="1" x14ac:dyDescent="0.25">
      <c r="A20" s="184" t="s">
        <v>56</v>
      </c>
      <c r="B20" s="185">
        <v>2.8000000000000001E-2</v>
      </c>
      <c r="C20" s="185">
        <v>2.92E-2</v>
      </c>
      <c r="D20" s="185">
        <v>1.4E-2</v>
      </c>
      <c r="E20" s="185">
        <v>1.5E-3</v>
      </c>
      <c r="F20" s="185">
        <v>1.2999999999999999E-2</v>
      </c>
      <c r="G20" s="185">
        <v>1.9400000000000001E-3</v>
      </c>
      <c r="H20" s="185">
        <v>0.02</v>
      </c>
      <c r="I20" s="185">
        <v>2.8000000000000001E-2</v>
      </c>
      <c r="J20" s="185"/>
      <c r="K20" s="185"/>
      <c r="L20" s="185">
        <v>5.0000000000000001E-3</v>
      </c>
      <c r="M20" s="185">
        <v>3.0000000000000001E-3</v>
      </c>
      <c r="N20" s="185"/>
      <c r="O20" s="185"/>
      <c r="P20" s="185"/>
      <c r="Q20" s="185"/>
      <c r="R20" s="185">
        <v>0.04</v>
      </c>
      <c r="S20" s="185">
        <v>4.9500000000000004E-3</v>
      </c>
      <c r="T20" s="185"/>
      <c r="U20" s="185"/>
      <c r="V20" s="185"/>
      <c r="W20" s="185"/>
      <c r="X20" s="185"/>
      <c r="Y20" s="185"/>
      <c r="Z20" s="185"/>
      <c r="AA20" s="185"/>
      <c r="AB20" s="190"/>
      <c r="AC20" s="190"/>
      <c r="AD20" s="185"/>
      <c r="AE20" s="185"/>
      <c r="AF20" s="185">
        <v>0.01</v>
      </c>
      <c r="AG20" s="185">
        <v>1.1950000000000001E-2</v>
      </c>
      <c r="AH20" s="190"/>
      <c r="AI20" s="190"/>
      <c r="AJ20" s="185"/>
      <c r="AK20" s="185"/>
      <c r="AL20" s="185">
        <v>1.7999999999999999E-2</v>
      </c>
      <c r="AM20" s="185">
        <v>1.7000000000000001E-2</v>
      </c>
      <c r="AN20" s="185">
        <v>3.3000000000000002E-2</v>
      </c>
      <c r="AO20" s="185">
        <v>0.125</v>
      </c>
      <c r="AP20" s="185">
        <v>0.02</v>
      </c>
      <c r="AQ20" s="185">
        <v>6.5000000000000002E-2</v>
      </c>
      <c r="AR20" s="185">
        <v>1.0999999999999999E-2</v>
      </c>
      <c r="AS20" s="185">
        <v>1.2E-2</v>
      </c>
      <c r="AT20" s="185">
        <v>8.0000000000000002E-3</v>
      </c>
      <c r="AU20" s="185">
        <v>9.4000000000000004E-3</v>
      </c>
      <c r="AV20" s="185"/>
      <c r="AW20" s="185">
        <v>3.0500000000000003E-2</v>
      </c>
      <c r="AX20" s="185">
        <v>2.1650000000000003E-2</v>
      </c>
      <c r="AY20" s="186">
        <f t="shared" si="0"/>
        <v>0.2505</v>
      </c>
      <c r="AZ20" s="186">
        <f t="shared" si="1"/>
        <v>0.33059000000000005</v>
      </c>
    </row>
    <row r="21" spans="1:52" ht="13.5" customHeight="1" x14ac:dyDescent="0.25">
      <c r="A21" s="184" t="s">
        <v>27</v>
      </c>
      <c r="B21" s="185"/>
      <c r="C21" s="185"/>
      <c r="D21" s="185">
        <v>8.4529999999999994</v>
      </c>
      <c r="E21" s="185">
        <v>74.555000000000007</v>
      </c>
      <c r="F21" s="185">
        <v>12.544</v>
      </c>
      <c r="G21" s="185">
        <v>241.47200000000001</v>
      </c>
      <c r="H21" s="185">
        <v>42.738</v>
      </c>
      <c r="I21" s="185">
        <v>1066.74</v>
      </c>
      <c r="J21" s="185">
        <v>19.664999999999999</v>
      </c>
      <c r="K21" s="185">
        <v>578.34799999999996</v>
      </c>
      <c r="L21" s="185"/>
      <c r="M21" s="185"/>
      <c r="N21" s="185">
        <v>1.859</v>
      </c>
      <c r="O21" s="185">
        <v>31.603000000000002</v>
      </c>
      <c r="P21" s="185">
        <v>25.047000000000001</v>
      </c>
      <c r="Q21" s="185">
        <v>703.82100000000003</v>
      </c>
      <c r="R21" s="185">
        <v>2.121</v>
      </c>
      <c r="S21" s="185">
        <v>32.557000000000002</v>
      </c>
      <c r="T21" s="185"/>
      <c r="U21" s="185"/>
      <c r="V21" s="185"/>
      <c r="W21" s="185"/>
      <c r="X21" s="185">
        <v>4</v>
      </c>
      <c r="Y21" s="185">
        <v>51.866999999999997</v>
      </c>
      <c r="Z21" s="185">
        <v>26.509</v>
      </c>
      <c r="AA21" s="185">
        <v>305.91399999999999</v>
      </c>
      <c r="AB21" s="190">
        <v>117.31100000000001</v>
      </c>
      <c r="AC21" s="190">
        <v>2826.0219999999999</v>
      </c>
      <c r="AD21" s="185">
        <v>7.1999999999999995E-2</v>
      </c>
      <c r="AE21" s="185">
        <v>6</v>
      </c>
      <c r="AF21" s="185">
        <v>56.118000000000002</v>
      </c>
      <c r="AG21" s="185">
        <v>474.197</v>
      </c>
      <c r="AH21" s="190">
        <v>110</v>
      </c>
      <c r="AI21" s="190">
        <v>2322.3969999999999</v>
      </c>
      <c r="AJ21" s="185">
        <v>3.0760000000000001</v>
      </c>
      <c r="AK21" s="185">
        <v>45.893999999999998</v>
      </c>
      <c r="AL21" s="185"/>
      <c r="AM21" s="185"/>
      <c r="AN21" s="185">
        <v>2.7570000000000001</v>
      </c>
      <c r="AO21" s="185">
        <v>49.488</v>
      </c>
      <c r="AP21" s="185"/>
      <c r="AQ21" s="185"/>
      <c r="AR21" s="185">
        <v>65.718000000000004</v>
      </c>
      <c r="AS21" s="185">
        <v>1937.367</v>
      </c>
      <c r="AT21" s="185">
        <v>3</v>
      </c>
      <c r="AU21" s="185">
        <v>45.906999999999996</v>
      </c>
      <c r="AV21" s="185"/>
      <c r="AW21" s="185">
        <v>127.736</v>
      </c>
      <c r="AX21" s="185">
        <v>2225.1610000000001</v>
      </c>
      <c r="AY21" s="186">
        <f t="shared" si="0"/>
        <v>628.72400000000005</v>
      </c>
      <c r="AZ21" s="186">
        <f t="shared" si="1"/>
        <v>13019.31</v>
      </c>
    </row>
    <row r="22" spans="1:52" ht="13.5" customHeight="1" x14ac:dyDescent="0.25">
      <c r="A22" s="184" t="s">
        <v>28</v>
      </c>
      <c r="B22" s="185">
        <v>10</v>
      </c>
      <c r="C22" s="185">
        <v>162</v>
      </c>
      <c r="D22" s="185"/>
      <c r="E22" s="185"/>
      <c r="F22" s="185"/>
      <c r="G22" s="185"/>
      <c r="H22" s="185">
        <v>30</v>
      </c>
      <c r="I22" s="185">
        <v>690</v>
      </c>
      <c r="J22" s="185">
        <v>29</v>
      </c>
      <c r="K22" s="185">
        <v>640.9</v>
      </c>
      <c r="L22" s="185"/>
      <c r="M22" s="185"/>
      <c r="N22" s="185"/>
      <c r="O22" s="185"/>
      <c r="P22" s="185">
        <v>36</v>
      </c>
      <c r="Q22" s="185">
        <v>813.24</v>
      </c>
      <c r="R22" s="185"/>
      <c r="S22" s="185"/>
      <c r="T22" s="185"/>
      <c r="U22" s="185"/>
      <c r="V22" s="185"/>
      <c r="W22" s="185"/>
      <c r="X22" s="185"/>
      <c r="Y22" s="185"/>
      <c r="Z22" s="185">
        <v>23</v>
      </c>
      <c r="AA22" s="185">
        <v>241.5</v>
      </c>
      <c r="AB22" s="190">
        <v>468</v>
      </c>
      <c r="AC22" s="190">
        <v>5864.04</v>
      </c>
      <c r="AD22" s="185"/>
      <c r="AE22" s="185"/>
      <c r="AF22" s="185">
        <v>5</v>
      </c>
      <c r="AG22" s="185">
        <v>30</v>
      </c>
      <c r="AH22" s="190">
        <v>20</v>
      </c>
      <c r="AI22" s="190">
        <v>370</v>
      </c>
      <c r="AJ22" s="185"/>
      <c r="AK22" s="185"/>
      <c r="AL22" s="185"/>
      <c r="AM22" s="185"/>
      <c r="AN22" s="185"/>
      <c r="AO22" s="185"/>
      <c r="AP22" s="185"/>
      <c r="AQ22" s="185"/>
      <c r="AR22" s="185">
        <v>50</v>
      </c>
      <c r="AS22" s="185">
        <v>1200</v>
      </c>
      <c r="AT22" s="185"/>
      <c r="AU22" s="185"/>
      <c r="AV22" s="185"/>
      <c r="AW22" s="185">
        <v>55</v>
      </c>
      <c r="AX22" s="185">
        <v>150.15</v>
      </c>
      <c r="AY22" s="186">
        <f t="shared" si="0"/>
        <v>726</v>
      </c>
      <c r="AZ22" s="186">
        <f t="shared" si="1"/>
        <v>10161.83</v>
      </c>
    </row>
    <row r="23" spans="1:52" ht="13.5" customHeight="1" x14ac:dyDescent="0.25">
      <c r="A23" s="188" t="s">
        <v>29</v>
      </c>
      <c r="B23" s="185"/>
      <c r="C23" s="185"/>
      <c r="D23" s="185"/>
      <c r="E23" s="185"/>
      <c r="F23" s="185"/>
      <c r="G23" s="185"/>
      <c r="H23" s="185"/>
      <c r="I23" s="185"/>
      <c r="J23" s="185">
        <v>7.1</v>
      </c>
      <c r="K23" s="185">
        <v>84.53</v>
      </c>
      <c r="L23" s="185"/>
      <c r="M23" s="185"/>
      <c r="N23" s="185"/>
      <c r="O23" s="185"/>
      <c r="P23" s="185">
        <v>2.75</v>
      </c>
      <c r="Q23" s="185">
        <v>30.25</v>
      </c>
      <c r="R23" s="185">
        <v>0.12</v>
      </c>
      <c r="S23" s="185">
        <v>0.6</v>
      </c>
      <c r="T23" s="185">
        <v>0.16</v>
      </c>
      <c r="U23" s="185">
        <v>1.1200000000000001</v>
      </c>
      <c r="V23" s="185"/>
      <c r="W23" s="185"/>
      <c r="X23" s="185"/>
      <c r="Y23" s="185"/>
      <c r="Z23" s="185">
        <v>0.12</v>
      </c>
      <c r="AA23" s="185">
        <v>0.84</v>
      </c>
      <c r="AB23" s="190">
        <v>0.27</v>
      </c>
      <c r="AC23" s="190">
        <v>4.05</v>
      </c>
      <c r="AD23" s="185"/>
      <c r="AE23" s="185"/>
      <c r="AF23" s="185">
        <v>5.81</v>
      </c>
      <c r="AG23" s="185">
        <v>59.42</v>
      </c>
      <c r="AH23" s="190"/>
      <c r="AI23" s="190"/>
      <c r="AJ23" s="185"/>
      <c r="AK23" s="185"/>
      <c r="AL23" s="185"/>
      <c r="AM23" s="185"/>
      <c r="AN23" s="185"/>
      <c r="AO23" s="185"/>
      <c r="AP23" s="185"/>
      <c r="AQ23" s="185"/>
      <c r="AR23" s="185">
        <v>2.83</v>
      </c>
      <c r="AS23" s="185">
        <v>28.73</v>
      </c>
      <c r="AT23" s="185">
        <v>0.03</v>
      </c>
      <c r="AU23" s="185">
        <v>0.6</v>
      </c>
      <c r="AV23" s="185"/>
      <c r="AW23" s="185">
        <f>6</f>
        <v>6</v>
      </c>
      <c r="AX23" s="185">
        <f>60.9</f>
        <v>60.9</v>
      </c>
      <c r="AY23" s="186">
        <f t="shared" si="0"/>
        <v>25.189999999999998</v>
      </c>
      <c r="AZ23" s="186">
        <f t="shared" si="1"/>
        <v>271.03999999999996</v>
      </c>
    </row>
    <row r="24" spans="1:52" ht="13.5" customHeight="1" x14ac:dyDescent="0.25">
      <c r="A24" s="184" t="s">
        <v>30</v>
      </c>
      <c r="B24" s="185">
        <v>0.89900000000000002</v>
      </c>
      <c r="C24" s="185">
        <v>6.13</v>
      </c>
      <c r="D24" s="185">
        <v>0.56399999999999995</v>
      </c>
      <c r="E24" s="185">
        <v>5.2930000000000001</v>
      </c>
      <c r="F24" s="185">
        <v>0.66800000000000004</v>
      </c>
      <c r="G24" s="185">
        <v>8.0239999999999991</v>
      </c>
      <c r="H24" s="185">
        <v>0.97899999999999998</v>
      </c>
      <c r="I24" s="185">
        <v>13.362</v>
      </c>
      <c r="J24" s="185">
        <v>1.833</v>
      </c>
      <c r="K24" s="185">
        <v>39.944000000000003</v>
      </c>
      <c r="L24" s="185">
        <v>0.46500000000000002</v>
      </c>
      <c r="M24" s="185">
        <v>4.2009999999999996</v>
      </c>
      <c r="N24" s="185">
        <v>1.157</v>
      </c>
      <c r="O24" s="185">
        <v>21.411999999999999</v>
      </c>
      <c r="P24" s="185">
        <v>1.9590000000000001</v>
      </c>
      <c r="Q24" s="185">
        <v>77.141999999999996</v>
      </c>
      <c r="R24" s="185">
        <v>0.52500000000000002</v>
      </c>
      <c r="S24" s="185">
        <v>4.17</v>
      </c>
      <c r="T24" s="185"/>
      <c r="U24" s="185"/>
      <c r="V24" s="185"/>
      <c r="W24" s="185"/>
      <c r="X24" s="185"/>
      <c r="Y24" s="185"/>
      <c r="Z24" s="185"/>
      <c r="AA24" s="185"/>
      <c r="AB24" s="190">
        <v>0.48799999999999999</v>
      </c>
      <c r="AC24" s="190">
        <v>4.1289999999999996</v>
      </c>
      <c r="AD24" s="185"/>
      <c r="AE24" s="185"/>
      <c r="AF24" s="185">
        <v>0.87</v>
      </c>
      <c r="AG24" s="185">
        <v>5.7119999999999997</v>
      </c>
      <c r="AH24" s="190">
        <v>18.449000000000002</v>
      </c>
      <c r="AI24" s="190">
        <v>181.815</v>
      </c>
      <c r="AJ24" s="185">
        <v>1.4810000000000001</v>
      </c>
      <c r="AK24" s="185">
        <v>28.292000000000002</v>
      </c>
      <c r="AL24" s="185">
        <v>1.3140000000000001</v>
      </c>
      <c r="AM24" s="185">
        <v>16.702000000000002</v>
      </c>
      <c r="AN24" s="185">
        <v>4.4800000000000004</v>
      </c>
      <c r="AO24" s="185">
        <v>15.644</v>
      </c>
      <c r="AP24" s="185">
        <v>5.298</v>
      </c>
      <c r="AQ24" s="185">
        <v>31.946999999999999</v>
      </c>
      <c r="AR24" s="185">
        <v>2.173</v>
      </c>
      <c r="AS24" s="185">
        <v>51.421999999999997</v>
      </c>
      <c r="AT24" s="185"/>
      <c r="AU24" s="185"/>
      <c r="AV24" s="185"/>
      <c r="AW24" s="185"/>
      <c r="AX24" s="185"/>
      <c r="AY24" s="186">
        <f t="shared" si="0"/>
        <v>43.602000000000004</v>
      </c>
      <c r="AZ24" s="186">
        <f t="shared" si="1"/>
        <v>515.34100000000001</v>
      </c>
    </row>
    <row r="25" spans="1:52" ht="13.5" customHeight="1" x14ac:dyDescent="0.25">
      <c r="A25" s="184" t="s">
        <v>31</v>
      </c>
      <c r="B25" s="185">
        <v>2.5350000000000001</v>
      </c>
      <c r="C25" s="185">
        <v>6.0839999999999996</v>
      </c>
      <c r="D25" s="185">
        <v>4.0449999999999999</v>
      </c>
      <c r="E25" s="185">
        <v>21.84</v>
      </c>
      <c r="F25" s="185">
        <v>7.3999999999999996E-2</v>
      </c>
      <c r="G25" s="185">
        <v>0.40699999999999997</v>
      </c>
      <c r="H25" s="185">
        <v>2.25</v>
      </c>
      <c r="I25" s="185">
        <v>16.03</v>
      </c>
      <c r="J25" s="185">
        <v>3.23</v>
      </c>
      <c r="K25" s="185">
        <v>43.28</v>
      </c>
      <c r="L25" s="185">
        <v>0.2</v>
      </c>
      <c r="M25" s="185">
        <v>2.3140000000000001</v>
      </c>
      <c r="N25" s="185">
        <v>0.17</v>
      </c>
      <c r="O25" s="185">
        <v>1.8</v>
      </c>
      <c r="P25" s="185">
        <v>0.12</v>
      </c>
      <c r="Q25" s="185">
        <v>1</v>
      </c>
      <c r="R25" s="185">
        <v>0.3</v>
      </c>
      <c r="S25" s="185">
        <v>2.09</v>
      </c>
      <c r="T25" s="185"/>
      <c r="U25" s="185"/>
      <c r="V25" s="185"/>
      <c r="W25" s="185"/>
      <c r="X25" s="185">
        <v>0.12</v>
      </c>
      <c r="Y25" s="185">
        <v>0.26</v>
      </c>
      <c r="Z25" s="185">
        <v>3.25</v>
      </c>
      <c r="AA25" s="185">
        <v>22.43</v>
      </c>
      <c r="AB25" s="190">
        <v>0.41</v>
      </c>
      <c r="AC25" s="190">
        <v>3.74</v>
      </c>
      <c r="AD25" s="185"/>
      <c r="AE25" s="185"/>
      <c r="AF25" s="185">
        <v>0.46</v>
      </c>
      <c r="AG25" s="185">
        <v>2.1619999999999999</v>
      </c>
      <c r="AH25" s="190">
        <v>0.24</v>
      </c>
      <c r="AI25" s="190">
        <v>3</v>
      </c>
      <c r="AJ25" s="185">
        <v>0.3</v>
      </c>
      <c r="AK25" s="185">
        <v>0.69</v>
      </c>
      <c r="AL25" s="185">
        <v>0.125</v>
      </c>
      <c r="AM25" s="185">
        <v>0.13800000000000001</v>
      </c>
      <c r="AN25" s="185">
        <v>0.19</v>
      </c>
      <c r="AO25" s="185">
        <v>1.2350000000000001</v>
      </c>
      <c r="AP25" s="185">
        <v>0.13</v>
      </c>
      <c r="AQ25" s="185">
        <v>1.9</v>
      </c>
      <c r="AR25" s="185">
        <v>0.88</v>
      </c>
      <c r="AS25" s="185">
        <v>8.27</v>
      </c>
      <c r="AT25" s="185">
        <v>0.3</v>
      </c>
      <c r="AU25" s="185">
        <v>0.88</v>
      </c>
      <c r="AV25" s="185"/>
      <c r="AW25" s="185">
        <f>2.64+4.66+0.035+0.013+0.02+0.4+0.77+12.12+1.01+0.1</f>
        <v>21.768000000000004</v>
      </c>
      <c r="AX25" s="185">
        <f>6.336+80.02+0.017+0.116+0.3+2.92+5.87+10.81+7.57+0.63</f>
        <v>114.589</v>
      </c>
      <c r="AY25" s="186">
        <f t="shared" si="0"/>
        <v>41.097000000000001</v>
      </c>
      <c r="AZ25" s="186">
        <f t="shared" si="1"/>
        <v>254.13900000000004</v>
      </c>
    </row>
    <row r="26" spans="1:52" ht="13.5" customHeight="1" x14ac:dyDescent="0.25">
      <c r="A26" s="187" t="s">
        <v>32</v>
      </c>
      <c r="B26" s="185">
        <v>2.33</v>
      </c>
      <c r="C26" s="185">
        <v>18.649999999999999</v>
      </c>
      <c r="D26" s="185">
        <v>0.14000000000000001</v>
      </c>
      <c r="E26" s="185">
        <v>1.1200000000000001</v>
      </c>
      <c r="F26" s="185">
        <v>0.15</v>
      </c>
      <c r="G26" s="185">
        <v>1.2</v>
      </c>
      <c r="H26" s="185">
        <v>0.41</v>
      </c>
      <c r="I26" s="185">
        <v>3.28</v>
      </c>
      <c r="J26" s="185">
        <v>8.1</v>
      </c>
      <c r="K26" s="185">
        <v>162</v>
      </c>
      <c r="L26" s="185"/>
      <c r="M26" s="185"/>
      <c r="N26" s="185">
        <v>0.51</v>
      </c>
      <c r="O26" s="185">
        <v>6.12</v>
      </c>
      <c r="P26" s="185">
        <v>0.62</v>
      </c>
      <c r="Q26" s="185">
        <v>4.96</v>
      </c>
      <c r="R26" s="185">
        <v>0.46</v>
      </c>
      <c r="S26" s="185">
        <v>4.5999999999999996</v>
      </c>
      <c r="T26" s="185">
        <v>5.82</v>
      </c>
      <c r="U26" s="185">
        <v>41.904000000000003</v>
      </c>
      <c r="V26" s="185"/>
      <c r="W26" s="185"/>
      <c r="X26" s="185"/>
      <c r="Y26" s="185"/>
      <c r="Z26" s="185">
        <v>0.16</v>
      </c>
      <c r="AA26" s="185">
        <v>1.28</v>
      </c>
      <c r="AB26" s="190">
        <v>0.7</v>
      </c>
      <c r="AC26" s="190">
        <v>7.7</v>
      </c>
      <c r="AD26" s="185"/>
      <c r="AE26" s="185"/>
      <c r="AF26" s="185">
        <v>1.56</v>
      </c>
      <c r="AG26" s="185">
        <v>9.36</v>
      </c>
      <c r="AH26" s="190">
        <v>4.82</v>
      </c>
      <c r="AI26" s="190">
        <v>65.099999999999994</v>
      </c>
      <c r="AJ26" s="185">
        <v>0.55000000000000004</v>
      </c>
      <c r="AK26" s="185">
        <v>5.5</v>
      </c>
      <c r="AL26" s="185">
        <v>0.51</v>
      </c>
      <c r="AM26" s="185">
        <v>5.0999999999999996</v>
      </c>
      <c r="AN26" s="185">
        <v>1.56</v>
      </c>
      <c r="AO26" s="185">
        <v>23.4</v>
      </c>
      <c r="AP26" s="185">
        <v>6.15</v>
      </c>
      <c r="AQ26" s="185">
        <v>92.25</v>
      </c>
      <c r="AR26" s="185">
        <v>2.72</v>
      </c>
      <c r="AS26" s="185">
        <v>20</v>
      </c>
      <c r="AT26" s="185">
        <v>0.18</v>
      </c>
      <c r="AU26" s="185">
        <v>1.8</v>
      </c>
      <c r="AV26" s="185">
        <v>6.05</v>
      </c>
      <c r="AW26" s="185">
        <v>1.1000000000000001</v>
      </c>
      <c r="AX26" s="185">
        <v>11</v>
      </c>
      <c r="AY26" s="186">
        <f t="shared" si="0"/>
        <v>38.549999999999997</v>
      </c>
      <c r="AZ26" s="186">
        <f t="shared" si="1"/>
        <v>492.37400000000002</v>
      </c>
    </row>
    <row r="27" spans="1:52" ht="13.5" customHeight="1" x14ac:dyDescent="0.25">
      <c r="A27" s="184" t="s">
        <v>189</v>
      </c>
      <c r="B27" s="185">
        <v>11.23</v>
      </c>
      <c r="C27" s="185">
        <v>52.11</v>
      </c>
      <c r="D27" s="185">
        <v>11.41</v>
      </c>
      <c r="E27" s="185">
        <v>111.76</v>
      </c>
      <c r="F27" s="185">
        <v>10.19</v>
      </c>
      <c r="G27" s="185">
        <v>138.09</v>
      </c>
      <c r="H27" s="185">
        <v>125.2</v>
      </c>
      <c r="I27" s="185">
        <v>2158.25</v>
      </c>
      <c r="J27" s="185">
        <v>40.98</v>
      </c>
      <c r="K27" s="185">
        <v>1150.8800000000001</v>
      </c>
      <c r="L27" s="185">
        <v>0.41</v>
      </c>
      <c r="M27" s="185">
        <v>5.95</v>
      </c>
      <c r="N27" s="185">
        <v>0.1</v>
      </c>
      <c r="O27" s="185">
        <v>1.26</v>
      </c>
      <c r="P27" s="185">
        <v>44.07</v>
      </c>
      <c r="Q27" s="185">
        <v>667.73</v>
      </c>
      <c r="R27" s="185">
        <v>2.46</v>
      </c>
      <c r="S27" s="185">
        <v>34.590000000000003</v>
      </c>
      <c r="T27" s="185"/>
      <c r="U27" s="185"/>
      <c r="V27" s="185"/>
      <c r="W27" s="185"/>
      <c r="X27" s="185">
        <v>0.08</v>
      </c>
      <c r="Y27" s="185">
        <v>1.37</v>
      </c>
      <c r="Z27" s="185">
        <v>65.239999999999995</v>
      </c>
      <c r="AA27" s="185">
        <v>578.53</v>
      </c>
      <c r="AB27" s="190">
        <v>35.81</v>
      </c>
      <c r="AC27" s="190">
        <v>432.05</v>
      </c>
      <c r="AD27" s="185">
        <v>2.0499999999999998</v>
      </c>
      <c r="AE27" s="185">
        <v>29</v>
      </c>
      <c r="AF27" s="185">
        <v>5.89</v>
      </c>
      <c r="AG27" s="185">
        <v>52.79</v>
      </c>
      <c r="AH27" s="190">
        <v>14.99</v>
      </c>
      <c r="AI27" s="190">
        <v>249.76</v>
      </c>
      <c r="AJ27" s="185">
        <v>12.65</v>
      </c>
      <c r="AK27" s="185">
        <v>137.38</v>
      </c>
      <c r="AL27" s="185"/>
      <c r="AM27" s="185"/>
      <c r="AN27" s="185">
        <v>42.03</v>
      </c>
      <c r="AO27" s="185">
        <v>396.2</v>
      </c>
      <c r="AP27" s="185">
        <v>0.06</v>
      </c>
      <c r="AQ27" s="185">
        <v>1.01</v>
      </c>
      <c r="AR27" s="185">
        <v>97.02</v>
      </c>
      <c r="AS27" s="185">
        <v>1385.96</v>
      </c>
      <c r="AT27" s="185">
        <v>12.58</v>
      </c>
      <c r="AU27" s="185">
        <v>242.88</v>
      </c>
      <c r="AV27" s="185">
        <v>8.44</v>
      </c>
      <c r="AW27" s="185">
        <v>142.88</v>
      </c>
      <c r="AX27" s="185">
        <v>1597.67</v>
      </c>
      <c r="AY27" s="186">
        <f t="shared" si="0"/>
        <v>677.33</v>
      </c>
      <c r="AZ27" s="186">
        <f t="shared" si="1"/>
        <v>9433.6600000000017</v>
      </c>
    </row>
    <row r="28" spans="1:52" ht="13.5" customHeight="1" x14ac:dyDescent="0.25">
      <c r="A28" s="187" t="s">
        <v>167</v>
      </c>
      <c r="B28" s="185">
        <v>7.0000000000000001E-3</v>
      </c>
      <c r="C28" s="185">
        <v>5.3999999999999999E-2</v>
      </c>
      <c r="D28" s="185">
        <v>1.2E-2</v>
      </c>
      <c r="E28" s="185">
        <v>4.8000000000000001E-2</v>
      </c>
      <c r="F28" s="185">
        <v>1.4999999999999999E-2</v>
      </c>
      <c r="G28" s="185">
        <v>0.124</v>
      </c>
      <c r="H28" s="185">
        <v>0.16600000000000001</v>
      </c>
      <c r="I28" s="185">
        <v>2.1230000000000002</v>
      </c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>
        <v>3.0000000000000001E-3</v>
      </c>
      <c r="Y28" s="185">
        <v>2.5000000000000001E-2</v>
      </c>
      <c r="Z28" s="185">
        <v>7.2999999999999995E-2</v>
      </c>
      <c r="AA28" s="185">
        <v>0.68</v>
      </c>
      <c r="AB28" s="190">
        <v>2.5000000000000001E-2</v>
      </c>
      <c r="AC28" s="190">
        <v>0.108</v>
      </c>
      <c r="AD28" s="185"/>
      <c r="AE28" s="185"/>
      <c r="AF28" s="185"/>
      <c r="AG28" s="185"/>
      <c r="AH28" s="190"/>
      <c r="AI28" s="190"/>
      <c r="AJ28" s="185">
        <v>8.9999999999999993E-3</v>
      </c>
      <c r="AK28" s="185">
        <v>0.11700000000000001</v>
      </c>
      <c r="AL28" s="185"/>
      <c r="AM28" s="185"/>
      <c r="AN28" s="185">
        <v>9.7000000000000003E-2</v>
      </c>
      <c r="AO28" s="185">
        <v>1.425</v>
      </c>
      <c r="AP28" s="185">
        <v>9.8000000000000004E-2</v>
      </c>
      <c r="AQ28" s="185">
        <v>2.57</v>
      </c>
      <c r="AR28" s="185">
        <v>5.0000000000000001E-3</v>
      </c>
      <c r="AS28" s="185">
        <v>6.2E-2</v>
      </c>
      <c r="AT28" s="185">
        <v>3.0000000000000001E-3</v>
      </c>
      <c r="AU28" s="185">
        <v>3.3000000000000002E-2</v>
      </c>
      <c r="AV28" s="185"/>
      <c r="AW28" s="185">
        <f>0.023+0.004+0.055+0.048+0.011+0.02+0.002+0.032+0.003+0.193</f>
        <v>0.39100000000000001</v>
      </c>
      <c r="AX28" s="185">
        <f>0.033+0.421+0.01+0.1+0.063+0.331+0.023+0.33+0.434+7.145</f>
        <v>8.8899999999999988</v>
      </c>
      <c r="AY28" s="186">
        <f t="shared" si="0"/>
        <v>0.90400000000000003</v>
      </c>
      <c r="AZ28" s="186">
        <f t="shared" si="1"/>
        <v>16.259</v>
      </c>
    </row>
    <row r="29" spans="1:52" ht="13.5" customHeight="1" x14ac:dyDescent="0.25">
      <c r="A29" s="184" t="s">
        <v>33</v>
      </c>
      <c r="B29" s="185"/>
      <c r="C29" s="185"/>
      <c r="D29" s="185">
        <v>2.1160000000000001</v>
      </c>
      <c r="E29" s="185">
        <v>31.882999999999999</v>
      </c>
      <c r="F29" s="185">
        <v>7.9279999999999999</v>
      </c>
      <c r="G29" s="185">
        <v>119.45699999999999</v>
      </c>
      <c r="H29" s="185">
        <v>3.859</v>
      </c>
      <c r="I29" s="185">
        <v>82.016000000000005</v>
      </c>
      <c r="J29" s="185">
        <v>4.95</v>
      </c>
      <c r="K29" s="185">
        <v>87.194000000000003</v>
      </c>
      <c r="L29" s="185">
        <v>0.307</v>
      </c>
      <c r="M29" s="185">
        <v>4.6379999999999999</v>
      </c>
      <c r="N29" s="185">
        <v>6.1630000000000003</v>
      </c>
      <c r="O29" s="185">
        <v>126.535</v>
      </c>
      <c r="P29" s="185">
        <v>12.224</v>
      </c>
      <c r="Q29" s="185">
        <v>219.20500000000001</v>
      </c>
      <c r="R29" s="185">
        <v>2.2320000000000002</v>
      </c>
      <c r="S29" s="185">
        <v>33.616999999999997</v>
      </c>
      <c r="T29" s="185"/>
      <c r="U29" s="185"/>
      <c r="V29" s="185"/>
      <c r="W29" s="185"/>
      <c r="X29" s="185">
        <v>4.95</v>
      </c>
      <c r="Y29" s="185">
        <v>86.108000000000004</v>
      </c>
      <c r="Z29" s="190">
        <v>3.2040000000000002</v>
      </c>
      <c r="AA29" s="190">
        <v>33.350999999999999</v>
      </c>
      <c r="AB29" s="185">
        <v>8.3239999999999998</v>
      </c>
      <c r="AC29" s="185">
        <v>185.39500000000001</v>
      </c>
      <c r="AD29" s="185"/>
      <c r="AE29" s="185"/>
      <c r="AF29" s="185">
        <v>20.544</v>
      </c>
      <c r="AG29" s="185">
        <v>210.85599999999999</v>
      </c>
      <c r="AH29" s="190">
        <v>87.244</v>
      </c>
      <c r="AI29" s="190">
        <v>2189.16</v>
      </c>
      <c r="AJ29" s="185">
        <v>12.327</v>
      </c>
      <c r="AK29" s="185">
        <v>253.06700000000001</v>
      </c>
      <c r="AL29" s="185">
        <v>0.107</v>
      </c>
      <c r="AM29" s="185">
        <v>1.605</v>
      </c>
      <c r="AN29" s="185"/>
      <c r="AO29" s="185"/>
      <c r="AP29" s="185">
        <v>2.0539999999999998</v>
      </c>
      <c r="AQ29" s="185">
        <v>42.170999999999999</v>
      </c>
      <c r="AR29" s="185">
        <v>7.3860000000000001</v>
      </c>
      <c r="AS29" s="185">
        <v>181.06899999999999</v>
      </c>
      <c r="AT29" s="185">
        <v>1.05</v>
      </c>
      <c r="AU29" s="185">
        <v>18.41</v>
      </c>
      <c r="AV29" s="185">
        <v>2.548</v>
      </c>
      <c r="AW29" s="185">
        <f>1.412+2.64</f>
        <v>4.0519999999999996</v>
      </c>
      <c r="AX29" s="185">
        <f>21.272+6.632</f>
        <v>27.903999999999996</v>
      </c>
      <c r="AY29" s="186">
        <f t="shared" si="0"/>
        <v>191.02100000000002</v>
      </c>
      <c r="AZ29" s="186">
        <f t="shared" si="1"/>
        <v>3936.1889999999994</v>
      </c>
    </row>
    <row r="30" spans="1:52" ht="13.5" customHeight="1" x14ac:dyDescent="0.25">
      <c r="A30" s="184" t="s">
        <v>34</v>
      </c>
      <c r="B30" s="185">
        <v>0.76</v>
      </c>
      <c r="C30" s="185">
        <v>1.58</v>
      </c>
      <c r="D30" s="185">
        <v>0.95</v>
      </c>
      <c r="E30" s="185">
        <v>2.79</v>
      </c>
      <c r="F30" s="185">
        <v>4.32</v>
      </c>
      <c r="G30" s="185">
        <v>14.87</v>
      </c>
      <c r="H30" s="185">
        <v>5.54</v>
      </c>
      <c r="I30" s="185">
        <v>23.22</v>
      </c>
      <c r="J30" s="185">
        <v>0.78</v>
      </c>
      <c r="K30" s="185">
        <v>4.2</v>
      </c>
      <c r="L30" s="185"/>
      <c r="M30" s="185"/>
      <c r="N30" s="185">
        <v>0.96</v>
      </c>
      <c r="O30" s="185">
        <v>3.88</v>
      </c>
      <c r="P30" s="185">
        <v>10.130000000000001</v>
      </c>
      <c r="Q30" s="185">
        <v>39.799999999999997</v>
      </c>
      <c r="R30" s="185">
        <v>2.27</v>
      </c>
      <c r="S30" s="185">
        <v>8.17</v>
      </c>
      <c r="T30" s="185"/>
      <c r="U30" s="185"/>
      <c r="V30" s="185"/>
      <c r="W30" s="185"/>
      <c r="X30" s="185">
        <v>2.0099999999999998</v>
      </c>
      <c r="Y30" s="185">
        <v>9.1300000000000008</v>
      </c>
      <c r="Z30" s="185">
        <v>3.95</v>
      </c>
      <c r="AA30" s="185">
        <v>12.27</v>
      </c>
      <c r="AB30" s="190">
        <v>57.46</v>
      </c>
      <c r="AC30" s="190">
        <v>704.96</v>
      </c>
      <c r="AD30" s="185"/>
      <c r="AE30" s="185"/>
      <c r="AF30" s="185">
        <v>13.6</v>
      </c>
      <c r="AG30" s="185">
        <v>22.87</v>
      </c>
      <c r="AH30" s="190">
        <v>9.51</v>
      </c>
      <c r="AI30" s="190">
        <v>113.25</v>
      </c>
      <c r="AJ30" s="185">
        <v>0.57999999999999996</v>
      </c>
      <c r="AK30" s="185">
        <v>3.97</v>
      </c>
      <c r="AL30" s="185">
        <v>1.05</v>
      </c>
      <c r="AM30" s="185">
        <v>5.7</v>
      </c>
      <c r="AN30" s="185">
        <v>0.64</v>
      </c>
      <c r="AO30" s="185">
        <v>1.98</v>
      </c>
      <c r="AP30" s="185"/>
      <c r="AQ30" s="185"/>
      <c r="AR30" s="185">
        <v>17.149999999999999</v>
      </c>
      <c r="AS30" s="185">
        <v>81.75</v>
      </c>
      <c r="AT30" s="185">
        <v>3.01</v>
      </c>
      <c r="AU30" s="185">
        <v>18.38</v>
      </c>
      <c r="AV30" s="185"/>
      <c r="AW30" s="185">
        <v>14.21</v>
      </c>
      <c r="AX30" s="185">
        <v>41.3</v>
      </c>
      <c r="AY30" s="186">
        <f t="shared" si="0"/>
        <v>148.88</v>
      </c>
      <c r="AZ30" s="186">
        <f t="shared" si="1"/>
        <v>1114.0700000000002</v>
      </c>
    </row>
    <row r="31" spans="1:52" ht="13.5" customHeight="1" x14ac:dyDescent="0.25">
      <c r="A31" s="184" t="s">
        <v>35</v>
      </c>
      <c r="B31" s="185">
        <v>1.1200000000000001</v>
      </c>
      <c r="C31" s="185">
        <v>5.64</v>
      </c>
      <c r="D31" s="185">
        <v>0.314</v>
      </c>
      <c r="E31" s="185">
        <v>1.91</v>
      </c>
      <c r="F31" s="185">
        <v>0.18</v>
      </c>
      <c r="G31" s="185">
        <v>1.46</v>
      </c>
      <c r="H31" s="185">
        <v>0.26200000000000001</v>
      </c>
      <c r="I31" s="185">
        <v>1.68</v>
      </c>
      <c r="J31" s="185">
        <v>1.21</v>
      </c>
      <c r="K31" s="185">
        <v>7.34</v>
      </c>
      <c r="L31" s="185">
        <v>3.1E-2</v>
      </c>
      <c r="M31" s="185">
        <v>9.2999999999999999E-2</v>
      </c>
      <c r="N31" s="185">
        <v>0.36299999999999999</v>
      </c>
      <c r="O31" s="185">
        <v>2.86</v>
      </c>
      <c r="P31" s="185">
        <v>0.78200000000000003</v>
      </c>
      <c r="Q31" s="185">
        <v>4.2300000000000004</v>
      </c>
      <c r="R31" s="185">
        <v>6.7000000000000004E-2</v>
      </c>
      <c r="S31" s="185">
        <v>0.30299999999999999</v>
      </c>
      <c r="T31" s="185">
        <v>9.0999999999999998E-2</v>
      </c>
      <c r="U31" s="185">
        <v>0.31900000000000001</v>
      </c>
      <c r="V31" s="185"/>
      <c r="W31" s="185"/>
      <c r="X31" s="185"/>
      <c r="Y31" s="185"/>
      <c r="Z31" s="185">
        <v>1.1299999999999999</v>
      </c>
      <c r="AA31" s="185">
        <v>7.52</v>
      </c>
      <c r="AB31" s="190">
        <v>0.32100000000000001</v>
      </c>
      <c r="AC31" s="190">
        <v>1.72</v>
      </c>
      <c r="AD31" s="185"/>
      <c r="AE31" s="185"/>
      <c r="AF31" s="185">
        <v>2.02</v>
      </c>
      <c r="AG31" s="185">
        <v>9.27</v>
      </c>
      <c r="AH31" s="190">
        <f>5.4+4.84</f>
        <v>10.24</v>
      </c>
      <c r="AI31" s="190">
        <f>24.21+25.65</f>
        <v>49.86</v>
      </c>
      <c r="AJ31" s="185">
        <v>0.755</v>
      </c>
      <c r="AK31" s="185">
        <v>5.55</v>
      </c>
      <c r="AL31" s="185"/>
      <c r="AM31" s="185"/>
      <c r="AN31" s="185"/>
      <c r="AO31" s="185"/>
      <c r="AP31" s="185"/>
      <c r="AQ31" s="185"/>
      <c r="AR31" s="185">
        <v>1.01</v>
      </c>
      <c r="AS31" s="185">
        <v>9.08</v>
      </c>
      <c r="AT31" s="185"/>
      <c r="AU31" s="185"/>
      <c r="AV31" s="185"/>
      <c r="AW31" s="185">
        <f>0.126+2.4+2.49+0.336+0.15+0.714</f>
        <v>6.2160000000000011</v>
      </c>
      <c r="AX31" s="185">
        <f>0.621+8.83+11.31+1.24+3.69</f>
        <v>25.691000000000003</v>
      </c>
      <c r="AY31" s="186">
        <f t="shared" si="0"/>
        <v>26.112000000000002</v>
      </c>
      <c r="AZ31" s="186">
        <f t="shared" si="1"/>
        <v>134.52600000000001</v>
      </c>
    </row>
    <row r="32" spans="1:52" ht="13.5" customHeight="1" x14ac:dyDescent="0.25">
      <c r="A32" s="184" t="s">
        <v>36</v>
      </c>
      <c r="B32" s="185">
        <v>3.48</v>
      </c>
      <c r="C32" s="185">
        <v>72.44</v>
      </c>
      <c r="D32" s="185">
        <v>1.28</v>
      </c>
      <c r="E32" s="185">
        <v>23.92</v>
      </c>
      <c r="F32" s="185">
        <v>0.32</v>
      </c>
      <c r="G32" s="185">
        <v>6.28</v>
      </c>
      <c r="H32" s="185">
        <v>10.93</v>
      </c>
      <c r="I32" s="185">
        <v>126.22</v>
      </c>
      <c r="J32" s="185">
        <v>2.16</v>
      </c>
      <c r="K32" s="185">
        <v>143.47</v>
      </c>
      <c r="L32" s="185"/>
      <c r="M32" s="185"/>
      <c r="N32" s="185">
        <v>3.72</v>
      </c>
      <c r="O32" s="185">
        <v>122.34</v>
      </c>
      <c r="P32" s="185">
        <v>1.01</v>
      </c>
      <c r="Q32" s="185">
        <v>22.2</v>
      </c>
      <c r="R32" s="185">
        <v>0.93</v>
      </c>
      <c r="S32" s="185">
        <v>9.1999999999999993</v>
      </c>
      <c r="T32" s="185">
        <v>0.62</v>
      </c>
      <c r="U32" s="185">
        <v>0.27</v>
      </c>
      <c r="V32" s="185">
        <v>1.24</v>
      </c>
      <c r="W32" s="185">
        <v>43.38</v>
      </c>
      <c r="X32" s="185">
        <v>0.24</v>
      </c>
      <c r="Y32" s="185">
        <v>7.14</v>
      </c>
      <c r="Z32" s="185">
        <v>8.77</v>
      </c>
      <c r="AA32" s="185">
        <v>83.59</v>
      </c>
      <c r="AB32" s="190">
        <v>39.97</v>
      </c>
      <c r="AC32" s="190">
        <v>472.69</v>
      </c>
      <c r="AD32" s="185"/>
      <c r="AE32" s="185"/>
      <c r="AF32" s="185"/>
      <c r="AG32" s="185"/>
      <c r="AH32" s="190">
        <v>5.35</v>
      </c>
      <c r="AI32" s="190">
        <v>115.63</v>
      </c>
      <c r="AJ32" s="185">
        <v>0.63</v>
      </c>
      <c r="AK32" s="185">
        <v>20.62</v>
      </c>
      <c r="AL32" s="185">
        <v>1.04</v>
      </c>
      <c r="AM32" s="185">
        <v>26.22</v>
      </c>
      <c r="AN32" s="185">
        <v>0.45</v>
      </c>
      <c r="AO32" s="185">
        <v>10.02</v>
      </c>
      <c r="AP32" s="185">
        <v>120.61</v>
      </c>
      <c r="AQ32" s="185">
        <v>4975.5600000000004</v>
      </c>
      <c r="AR32" s="185">
        <v>25.15</v>
      </c>
      <c r="AS32" s="185">
        <v>332.5</v>
      </c>
      <c r="AT32" s="185">
        <v>6.5</v>
      </c>
      <c r="AU32" s="185">
        <v>226.04</v>
      </c>
      <c r="AV32" s="185"/>
      <c r="AW32" s="185">
        <v>55.34</v>
      </c>
      <c r="AX32" s="185">
        <v>1839.09</v>
      </c>
      <c r="AY32" s="186">
        <f t="shared" si="0"/>
        <v>289.74</v>
      </c>
      <c r="AZ32" s="186">
        <f t="shared" si="1"/>
        <v>8678.82</v>
      </c>
    </row>
    <row r="33" spans="1:52" ht="13.5" customHeight="1" x14ac:dyDescent="0.25">
      <c r="A33" s="202" t="s">
        <v>241</v>
      </c>
      <c r="B33" s="185">
        <v>7.9690000000000003</v>
      </c>
      <c r="C33" s="185">
        <v>95.628</v>
      </c>
      <c r="D33" s="185">
        <v>13.101000000000001</v>
      </c>
      <c r="E33" s="185">
        <v>144.11099999999999</v>
      </c>
      <c r="F33" s="185">
        <v>8.8030000000000008</v>
      </c>
      <c r="G33" s="185">
        <v>96.832999999999998</v>
      </c>
      <c r="H33" s="185">
        <v>15.113</v>
      </c>
      <c r="I33" s="185">
        <v>302.26</v>
      </c>
      <c r="J33" s="185">
        <v>5.625</v>
      </c>
      <c r="K33" s="185">
        <v>84.375</v>
      </c>
      <c r="L33" s="185">
        <v>0.55800000000000005</v>
      </c>
      <c r="M33" s="185">
        <v>6.1379999999999999</v>
      </c>
      <c r="N33" s="185">
        <v>5.1050000000000004</v>
      </c>
      <c r="O33" s="185">
        <v>51.055</v>
      </c>
      <c r="P33" s="185">
        <v>2.9249999999999998</v>
      </c>
      <c r="Q33" s="185">
        <v>32.174999999999997</v>
      </c>
      <c r="R33" s="185">
        <v>3.9380000000000002</v>
      </c>
      <c r="S33" s="185">
        <v>78.760000000000005</v>
      </c>
      <c r="T33" s="185"/>
      <c r="U33" s="185"/>
      <c r="V33" s="185"/>
      <c r="W33" s="185"/>
      <c r="X33" s="185">
        <v>0.28799999999999998</v>
      </c>
      <c r="Y33" s="185">
        <v>2.88</v>
      </c>
      <c r="Z33" s="185">
        <v>25.187999999999999</v>
      </c>
      <c r="AA33" s="185">
        <v>377.82</v>
      </c>
      <c r="AB33" s="190">
        <v>23.568000000000001</v>
      </c>
      <c r="AC33" s="190">
        <v>424.22399999999999</v>
      </c>
      <c r="AD33" s="185"/>
      <c r="AE33" s="185"/>
      <c r="AF33" s="185">
        <v>0.16200000000000001</v>
      </c>
      <c r="AG33" s="185">
        <v>1.619</v>
      </c>
      <c r="AH33" s="190">
        <v>4.9290000000000003</v>
      </c>
      <c r="AI33" s="190">
        <v>98.58</v>
      </c>
      <c r="AJ33" s="185"/>
      <c r="AK33" s="185"/>
      <c r="AL33" s="185"/>
      <c r="AM33" s="185"/>
      <c r="AN33" s="185"/>
      <c r="AO33" s="185"/>
      <c r="AP33" s="185"/>
      <c r="AQ33" s="185"/>
      <c r="AR33" s="185">
        <v>74.186000000000007</v>
      </c>
      <c r="AS33" s="185">
        <v>1483.712</v>
      </c>
      <c r="AT33" s="185">
        <v>1.663</v>
      </c>
      <c r="AU33" s="185">
        <v>33.26</v>
      </c>
      <c r="AV33" s="185"/>
      <c r="AW33" s="185">
        <v>27.82</v>
      </c>
      <c r="AX33" s="185">
        <v>333.84500000000003</v>
      </c>
      <c r="AY33" s="186">
        <f t="shared" si="0"/>
        <v>220.94100000000003</v>
      </c>
      <c r="AZ33" s="186">
        <f t="shared" si="1"/>
        <v>3647.2749999999996</v>
      </c>
    </row>
    <row r="34" spans="1:52" ht="13.5" customHeight="1" x14ac:dyDescent="0.25">
      <c r="A34" s="184" t="s">
        <v>37</v>
      </c>
      <c r="B34" s="185"/>
      <c r="C34" s="185"/>
      <c r="D34" s="185">
        <v>0.79</v>
      </c>
      <c r="E34" s="185">
        <v>7.48</v>
      </c>
      <c r="F34" s="185">
        <v>1.76</v>
      </c>
      <c r="G34" s="185">
        <v>36.56</v>
      </c>
      <c r="H34" s="185">
        <v>3.52</v>
      </c>
      <c r="I34" s="185">
        <v>53.56</v>
      </c>
      <c r="J34" s="185">
        <v>3.03</v>
      </c>
      <c r="K34" s="185">
        <v>79.290000000000006</v>
      </c>
      <c r="L34" s="185">
        <v>0.12</v>
      </c>
      <c r="M34" s="185">
        <v>0.96</v>
      </c>
      <c r="N34" s="185">
        <v>0.35</v>
      </c>
      <c r="O34" s="185">
        <v>4.2</v>
      </c>
      <c r="P34" s="185">
        <v>2.56</v>
      </c>
      <c r="Q34" s="185">
        <v>52.5</v>
      </c>
      <c r="R34" s="185">
        <v>1.49</v>
      </c>
      <c r="S34" s="185">
        <v>15.62</v>
      </c>
      <c r="T34" s="185"/>
      <c r="U34" s="185"/>
      <c r="V34" s="185"/>
      <c r="W34" s="185"/>
      <c r="X34" s="185"/>
      <c r="Y34" s="185"/>
      <c r="Z34" s="185">
        <v>1.68</v>
      </c>
      <c r="AA34" s="185">
        <v>16</v>
      </c>
      <c r="AB34" s="190"/>
      <c r="AC34" s="190"/>
      <c r="AD34" s="185">
        <v>0.45</v>
      </c>
      <c r="AE34" s="185">
        <v>5.26</v>
      </c>
      <c r="AF34" s="185"/>
      <c r="AG34" s="185"/>
      <c r="AH34" s="190">
        <v>8.7200000000000006</v>
      </c>
      <c r="AI34" s="190">
        <v>153.80000000000001</v>
      </c>
      <c r="AJ34" s="185">
        <v>3.01</v>
      </c>
      <c r="AK34" s="185">
        <v>57.86</v>
      </c>
      <c r="AL34" s="185">
        <v>0.83</v>
      </c>
      <c r="AM34" s="185">
        <v>16.53</v>
      </c>
      <c r="AN34" s="185"/>
      <c r="AO34" s="185"/>
      <c r="AP34" s="185"/>
      <c r="AQ34" s="185"/>
      <c r="AR34" s="185">
        <v>1.58</v>
      </c>
      <c r="AS34" s="185">
        <v>39</v>
      </c>
      <c r="AT34" s="185">
        <v>0.86</v>
      </c>
      <c r="AU34" s="185">
        <v>22.17</v>
      </c>
      <c r="AV34" s="185"/>
      <c r="AW34" s="185">
        <v>15.94</v>
      </c>
      <c r="AX34" s="185">
        <v>219.73</v>
      </c>
      <c r="AY34" s="186">
        <f t="shared" si="0"/>
        <v>46.689999999999991</v>
      </c>
      <c r="AZ34" s="186">
        <f t="shared" si="1"/>
        <v>780.52</v>
      </c>
    </row>
    <row r="35" spans="1:52" ht="13.5" customHeight="1" x14ac:dyDescent="0.25">
      <c r="A35" s="184" t="s">
        <v>38</v>
      </c>
      <c r="B35" s="185"/>
      <c r="C35" s="185"/>
      <c r="D35" s="185">
        <v>1.4339999999999999</v>
      </c>
      <c r="E35" s="185">
        <v>24.373000000000001</v>
      </c>
      <c r="F35" s="185">
        <v>6.5650000000000004</v>
      </c>
      <c r="G35" s="185">
        <v>192.4</v>
      </c>
      <c r="H35" s="185">
        <v>3.4340000000000002</v>
      </c>
      <c r="I35" s="185">
        <v>111.703</v>
      </c>
      <c r="J35" s="185">
        <v>1.893</v>
      </c>
      <c r="K35" s="185">
        <v>61.319000000000003</v>
      </c>
      <c r="L35" s="185"/>
      <c r="M35" s="185"/>
      <c r="N35" s="185">
        <v>3.0179999999999998</v>
      </c>
      <c r="O35" s="185">
        <v>72.777000000000001</v>
      </c>
      <c r="P35" s="185">
        <v>9.74</v>
      </c>
      <c r="Q35" s="185">
        <v>205.404</v>
      </c>
      <c r="R35" s="185"/>
      <c r="S35" s="185"/>
      <c r="T35" s="185"/>
      <c r="U35" s="185"/>
      <c r="V35" s="185"/>
      <c r="W35" s="185"/>
      <c r="X35" s="185">
        <v>17.594999999999999</v>
      </c>
      <c r="Y35" s="185">
        <v>457.46199999999999</v>
      </c>
      <c r="Z35" s="185">
        <v>12.191000000000001</v>
      </c>
      <c r="AA35" s="185">
        <v>148.64099999999999</v>
      </c>
      <c r="AB35" s="190">
        <v>24.265000000000001</v>
      </c>
      <c r="AC35" s="190">
        <v>409.95600000000002</v>
      </c>
      <c r="AD35" s="185">
        <v>1.149</v>
      </c>
      <c r="AE35" s="185">
        <v>28.423999999999999</v>
      </c>
      <c r="AF35" s="185">
        <v>171.172</v>
      </c>
      <c r="AG35" s="185">
        <v>1782.634</v>
      </c>
      <c r="AH35" s="190">
        <v>564.25199999999995</v>
      </c>
      <c r="AI35" s="190">
        <v>13808.76</v>
      </c>
      <c r="AJ35" s="185">
        <v>2.82</v>
      </c>
      <c r="AK35" s="185">
        <v>72.489000000000004</v>
      </c>
      <c r="AL35" s="185">
        <v>4.3179999999999996</v>
      </c>
      <c r="AM35" s="185">
        <v>163.66399999999999</v>
      </c>
      <c r="AN35" s="185">
        <v>17.54</v>
      </c>
      <c r="AO35" s="185">
        <v>230.51400000000001</v>
      </c>
      <c r="AP35" s="185"/>
      <c r="AQ35" s="185"/>
      <c r="AR35" s="185">
        <v>8.0690000000000008</v>
      </c>
      <c r="AS35" s="185">
        <v>327.83199999999999</v>
      </c>
      <c r="AT35" s="185">
        <v>9.9250000000000007</v>
      </c>
      <c r="AU35" s="185">
        <v>446.60500000000002</v>
      </c>
      <c r="AV35" s="185"/>
      <c r="AW35" s="185"/>
      <c r="AX35" s="185"/>
      <c r="AY35" s="186">
        <f t="shared" si="0"/>
        <v>859.37999999999988</v>
      </c>
      <c r="AZ35" s="186">
        <f t="shared" si="1"/>
        <v>18544.956999999999</v>
      </c>
    </row>
    <row r="36" spans="1:52" ht="13.5" customHeight="1" x14ac:dyDescent="0.25">
      <c r="A36" s="184" t="s">
        <v>90</v>
      </c>
      <c r="B36" s="185">
        <v>5.2430000000000003</v>
      </c>
      <c r="C36" s="185">
        <v>36.545000000000002</v>
      </c>
      <c r="D36" s="185"/>
      <c r="E36" s="185"/>
      <c r="F36" s="185"/>
      <c r="G36" s="185"/>
      <c r="H36" s="185">
        <v>2.4039999999999999</v>
      </c>
      <c r="I36" s="185">
        <v>25.64</v>
      </c>
      <c r="J36" s="185">
        <v>6.1980000000000004</v>
      </c>
      <c r="K36" s="185">
        <v>73.231999999999999</v>
      </c>
      <c r="L36" s="185">
        <v>2.5099999999999998</v>
      </c>
      <c r="M36" s="185">
        <v>13.106</v>
      </c>
      <c r="N36" s="185"/>
      <c r="O36" s="185"/>
      <c r="P36" s="185">
        <v>2.734</v>
      </c>
      <c r="Q36" s="185">
        <v>36.411999999999999</v>
      </c>
      <c r="R36" s="185"/>
      <c r="S36" s="185"/>
      <c r="T36" s="185"/>
      <c r="U36" s="185"/>
      <c r="V36" s="185"/>
      <c r="W36" s="185"/>
      <c r="X36" s="185"/>
      <c r="Y36" s="185"/>
      <c r="Z36" s="185">
        <v>3.28</v>
      </c>
      <c r="AA36" s="185">
        <v>26.902999999999999</v>
      </c>
      <c r="AB36" s="190">
        <v>3.7949999999999999</v>
      </c>
      <c r="AC36" s="190">
        <v>35.857999999999997</v>
      </c>
      <c r="AD36" s="185"/>
      <c r="AE36" s="185"/>
      <c r="AF36" s="185">
        <v>12.766999999999999</v>
      </c>
      <c r="AG36" s="185">
        <v>83.998999999999995</v>
      </c>
      <c r="AH36" s="190">
        <v>24.707999999999998</v>
      </c>
      <c r="AI36" s="190">
        <v>409.62099999999998</v>
      </c>
      <c r="AJ36" s="185">
        <v>4.7300000000000004</v>
      </c>
      <c r="AK36" s="185">
        <v>51.621000000000002</v>
      </c>
      <c r="AL36" s="185"/>
      <c r="AM36" s="185"/>
      <c r="AN36" s="185"/>
      <c r="AO36" s="185"/>
      <c r="AP36" s="185"/>
      <c r="AQ36" s="185"/>
      <c r="AR36" s="185">
        <v>9.0760000000000005</v>
      </c>
      <c r="AS36" s="185">
        <v>113.652</v>
      </c>
      <c r="AT36" s="185"/>
      <c r="AU36" s="185"/>
      <c r="AV36" s="185"/>
      <c r="AW36" s="185">
        <v>10.839</v>
      </c>
      <c r="AX36" s="185">
        <v>110.24</v>
      </c>
      <c r="AY36" s="186">
        <f t="shared" si="0"/>
        <v>88.283999999999992</v>
      </c>
      <c r="AZ36" s="186">
        <f t="shared" si="1"/>
        <v>1016.8290000000001</v>
      </c>
    </row>
    <row r="37" spans="1:52" ht="13.5" customHeight="1" x14ac:dyDescent="0.25">
      <c r="A37" s="184" t="s">
        <v>40</v>
      </c>
      <c r="B37" s="185">
        <v>23.2</v>
      </c>
      <c r="C37" s="185">
        <v>127.8</v>
      </c>
      <c r="D37" s="185"/>
      <c r="E37" s="185"/>
      <c r="F37" s="185"/>
      <c r="G37" s="185"/>
      <c r="H37" s="185">
        <v>161.5</v>
      </c>
      <c r="I37" s="185">
        <v>2977</v>
      </c>
      <c r="J37" s="185">
        <v>78.2</v>
      </c>
      <c r="K37" s="185">
        <v>2197.4</v>
      </c>
      <c r="L37" s="185"/>
      <c r="M37" s="185"/>
      <c r="N37" s="185"/>
      <c r="O37" s="185"/>
      <c r="P37" s="185">
        <v>73.599999999999994</v>
      </c>
      <c r="Q37" s="185">
        <v>1879</v>
      </c>
      <c r="R37" s="185"/>
      <c r="S37" s="185"/>
      <c r="T37" s="185"/>
      <c r="U37" s="185"/>
      <c r="V37" s="185"/>
      <c r="W37" s="185"/>
      <c r="X37" s="185"/>
      <c r="Y37" s="185"/>
      <c r="Z37" s="185">
        <v>75</v>
      </c>
      <c r="AA37" s="185">
        <v>877</v>
      </c>
      <c r="AB37" s="190">
        <v>23.5</v>
      </c>
      <c r="AC37" s="190">
        <v>342.85</v>
      </c>
      <c r="AD37" s="185"/>
      <c r="AE37" s="185"/>
      <c r="AF37" s="185">
        <v>21.9</v>
      </c>
      <c r="AG37" s="185">
        <v>133.5</v>
      </c>
      <c r="AH37" s="190">
        <v>412.24900000000002</v>
      </c>
      <c r="AI37" s="190">
        <v>9030</v>
      </c>
      <c r="AJ37" s="185">
        <v>40.700000000000003</v>
      </c>
      <c r="AK37" s="185">
        <v>498.5</v>
      </c>
      <c r="AL37" s="185"/>
      <c r="AM37" s="185"/>
      <c r="AN37" s="185">
        <v>22.8</v>
      </c>
      <c r="AO37" s="185">
        <v>236</v>
      </c>
      <c r="AP37" s="185"/>
      <c r="AQ37" s="185"/>
      <c r="AR37" s="185">
        <v>56.5</v>
      </c>
      <c r="AS37" s="185">
        <v>1141.5</v>
      </c>
      <c r="AT37" s="185">
        <v>16.55</v>
      </c>
      <c r="AU37" s="185">
        <v>233.4</v>
      </c>
      <c r="AV37" s="185"/>
      <c r="AW37" s="185">
        <f>204+170.6</f>
        <v>374.6</v>
      </c>
      <c r="AX37" s="185">
        <f>1184+2187</f>
        <v>3371</v>
      </c>
      <c r="AY37" s="186">
        <f t="shared" si="0"/>
        <v>1380.299</v>
      </c>
      <c r="AZ37" s="186">
        <f t="shared" si="1"/>
        <v>23044.950000000004</v>
      </c>
    </row>
    <row r="38" spans="1:52" ht="13.5" customHeight="1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90"/>
      <c r="AC38" s="190"/>
      <c r="AD38" s="185"/>
      <c r="AE38" s="185"/>
      <c r="AF38" s="185"/>
      <c r="AG38" s="185"/>
      <c r="AH38" s="190"/>
      <c r="AI38" s="190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6"/>
      <c r="AZ38" s="186"/>
    </row>
    <row r="39" spans="1:52" ht="13.5" customHeight="1" x14ac:dyDescent="0.25">
      <c r="A39" s="184" t="s">
        <v>9</v>
      </c>
      <c r="B39" s="186">
        <f>SUM(B3:B38)</f>
        <v>137.53900000000002</v>
      </c>
      <c r="C39" s="186">
        <f t="shared" ref="C39:AZ39" si="2">SUM(C3:C38)</f>
        <v>1370.2131999999999</v>
      </c>
      <c r="D39" s="186">
        <f t="shared" si="2"/>
        <v>78.886000000000024</v>
      </c>
      <c r="E39" s="186">
        <f t="shared" si="2"/>
        <v>807.47449999999992</v>
      </c>
      <c r="F39" s="186">
        <f t="shared" si="2"/>
        <v>103.22499999999998</v>
      </c>
      <c r="G39" s="186">
        <f t="shared" si="2"/>
        <v>1818.8639399999995</v>
      </c>
      <c r="H39" s="186">
        <f t="shared" si="2"/>
        <v>711.30599999999981</v>
      </c>
      <c r="I39" s="186">
        <f t="shared" si="2"/>
        <v>13557.820999999996</v>
      </c>
      <c r="J39" s="186">
        <f t="shared" si="2"/>
        <v>400.13799999999986</v>
      </c>
      <c r="K39" s="186">
        <f t="shared" si="2"/>
        <v>9039.219000000001</v>
      </c>
      <c r="L39" s="186">
        <f t="shared" si="2"/>
        <v>29.714999999999996</v>
      </c>
      <c r="M39" s="186">
        <f t="shared" si="2"/>
        <v>166.87599999999998</v>
      </c>
      <c r="N39" s="186">
        <f t="shared" si="2"/>
        <v>62.411999999999999</v>
      </c>
      <c r="O39" s="186">
        <f t="shared" si="2"/>
        <v>1073.711</v>
      </c>
      <c r="P39" s="186">
        <f t="shared" si="2"/>
        <v>433.87299999999993</v>
      </c>
      <c r="Q39" s="186">
        <f t="shared" si="2"/>
        <v>8573.2759999999998</v>
      </c>
      <c r="R39" s="186">
        <f t="shared" si="2"/>
        <v>43.275000000000006</v>
      </c>
      <c r="S39" s="186">
        <f t="shared" si="2"/>
        <v>678.14595000000008</v>
      </c>
      <c r="T39" s="186">
        <f t="shared" si="2"/>
        <v>140.04399999999998</v>
      </c>
      <c r="U39" s="186">
        <f t="shared" si="2"/>
        <v>1687.3339999999998</v>
      </c>
      <c r="V39" s="186">
        <f t="shared" si="2"/>
        <v>4.9020000000000001</v>
      </c>
      <c r="W39" s="186">
        <f t="shared" si="2"/>
        <v>222.39399999999998</v>
      </c>
      <c r="X39" s="186">
        <f t="shared" si="2"/>
        <v>36.696999999999996</v>
      </c>
      <c r="Y39" s="186">
        <f t="shared" si="2"/>
        <v>760.80700000000002</v>
      </c>
      <c r="Z39" s="186">
        <f t="shared" si="2"/>
        <v>532.65999999999985</v>
      </c>
      <c r="AA39" s="186">
        <f t="shared" si="2"/>
        <v>6346.3680000000004</v>
      </c>
      <c r="AB39" s="186">
        <f t="shared" si="2"/>
        <v>1203.5650000000001</v>
      </c>
      <c r="AC39" s="186">
        <f t="shared" si="2"/>
        <v>19401.676999999996</v>
      </c>
      <c r="AD39" s="186">
        <f t="shared" si="2"/>
        <v>12.785</v>
      </c>
      <c r="AE39" s="186">
        <f t="shared" si="2"/>
        <v>169.45599999999999</v>
      </c>
      <c r="AF39" s="186">
        <f t="shared" si="2"/>
        <v>433.56400000000002</v>
      </c>
      <c r="AG39" s="186">
        <f t="shared" si="2"/>
        <v>3868.6349499999997</v>
      </c>
      <c r="AH39" s="186">
        <f t="shared" si="2"/>
        <v>1973.1907000000001</v>
      </c>
      <c r="AI39" s="186">
        <f t="shared" si="2"/>
        <v>41555.384000000005</v>
      </c>
      <c r="AJ39" s="186">
        <f t="shared" si="2"/>
        <v>173.33199999999994</v>
      </c>
      <c r="AK39" s="186">
        <f t="shared" si="2"/>
        <v>2484.848</v>
      </c>
      <c r="AL39" s="186">
        <f t="shared" si="2"/>
        <v>19.759999999999998</v>
      </c>
      <c r="AM39" s="186">
        <f t="shared" si="2"/>
        <v>416.1049999999999</v>
      </c>
      <c r="AN39" s="186">
        <f t="shared" si="2"/>
        <v>105.86899999999999</v>
      </c>
      <c r="AO39" s="186">
        <f t="shared" si="2"/>
        <v>1087.875</v>
      </c>
      <c r="AP39" s="186">
        <f t="shared" si="2"/>
        <v>228.28300000000002</v>
      </c>
      <c r="AQ39" s="186">
        <f t="shared" si="2"/>
        <v>8139.429000000001</v>
      </c>
      <c r="AR39" s="186">
        <f t="shared" si="2"/>
        <v>882.03200000000004</v>
      </c>
      <c r="AS39" s="186">
        <f t="shared" si="2"/>
        <v>18735.911999999997</v>
      </c>
      <c r="AT39" s="186">
        <f t="shared" si="2"/>
        <v>74.643999999999991</v>
      </c>
      <c r="AU39" s="186">
        <f t="shared" si="2"/>
        <v>1809.8264000000001</v>
      </c>
      <c r="AV39" s="186">
        <f t="shared" si="2"/>
        <v>17.100999999999999</v>
      </c>
      <c r="AW39" s="186">
        <f t="shared" si="2"/>
        <v>1574.3604999999998</v>
      </c>
      <c r="AX39" s="186">
        <f t="shared" si="2"/>
        <v>19108.158649999998</v>
      </c>
      <c r="AY39" s="186">
        <f t="shared" si="2"/>
        <v>9396.0571999999993</v>
      </c>
      <c r="AZ39" s="186">
        <f t="shared" si="2"/>
        <v>162896.91059000001</v>
      </c>
    </row>
    <row r="40" spans="1:52" ht="16.5" customHeight="1" x14ac:dyDescent="0.25">
      <c r="A40" s="236" t="s">
        <v>303</v>
      </c>
      <c r="B40" s="236" t="s">
        <v>303</v>
      </c>
      <c r="C40" s="236" t="s">
        <v>303</v>
      </c>
      <c r="D40" s="236" t="s">
        <v>303</v>
      </c>
    </row>
    <row r="41" spans="1:52" ht="16.5" customHeight="1" x14ac:dyDescent="0.25">
      <c r="A41" s="236" t="s">
        <v>209</v>
      </c>
      <c r="B41" s="236" t="s">
        <v>209</v>
      </c>
      <c r="C41" s="236" t="s">
        <v>209</v>
      </c>
      <c r="D41" s="236" t="s">
        <v>209</v>
      </c>
    </row>
  </sheetData>
  <mergeCells count="25">
    <mergeCell ref="J1:K1"/>
    <mergeCell ref="L1:M1"/>
    <mergeCell ref="N1:O1"/>
    <mergeCell ref="P1:Q1"/>
    <mergeCell ref="B1:C1"/>
    <mergeCell ref="D1:E1"/>
    <mergeCell ref="F1:G1"/>
    <mergeCell ref="H1:I1"/>
    <mergeCell ref="R1:S1"/>
    <mergeCell ref="X1:Y1"/>
    <mergeCell ref="AD1:AE1"/>
    <mergeCell ref="AF1:AG1"/>
    <mergeCell ref="Z1:AA1"/>
    <mergeCell ref="AB1:AC1"/>
    <mergeCell ref="T1:U1"/>
    <mergeCell ref="V1:W1"/>
    <mergeCell ref="AH1:AI1"/>
    <mergeCell ref="AJ1:AK1"/>
    <mergeCell ref="AY1:AZ1"/>
    <mergeCell ref="AL1:AM1"/>
    <mergeCell ref="AN1:AO1"/>
    <mergeCell ref="AP1:AQ1"/>
    <mergeCell ref="AR1:AS1"/>
    <mergeCell ref="AT1:AU1"/>
    <mergeCell ref="AW1:AX1"/>
  </mergeCells>
  <phoneticPr fontId="20" type="noConversion"/>
  <printOptions horizontalCentered="1" verticalCentered="1"/>
  <pageMargins left="0.17" right="0.17" top="0.55000000000000004" bottom="0.25" header="0.22" footer="0.25"/>
  <pageSetup paperSize="9" scale="75" orientation="landscape" r:id="rId1"/>
  <headerFooter alignWithMargins="0">
    <oddHeader xml:space="preserve">&amp;L&amp;P&amp;C&amp;"-,Bold"&amp;16&amp;UArea and Production of Vegetable Crops 2013-14 (Final)&amp;R&amp;"-,Bold"Area in  '  000 Ha 
Production in '000  MT </oddHeader>
  </headerFooter>
  <rowBreaks count="1" manualBreakCount="1">
    <brk id="39" max="51" man="1"/>
  </rowBreaks>
  <colBreaks count="2" manualBreakCount="2">
    <brk id="21" max="38" man="1"/>
    <brk id="37" max="38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opLeftCell="A34" workbookViewId="0">
      <selection activeCell="E55" sqref="E55"/>
    </sheetView>
  </sheetViews>
  <sheetFormatPr defaultRowHeight="17.25" customHeight="1" x14ac:dyDescent="0.25"/>
  <cols>
    <col min="1" max="1" width="20.42578125" style="192" customWidth="1"/>
    <col min="2" max="3" width="13.85546875" style="192" customWidth="1"/>
    <col min="4" max="4" width="14.7109375" style="192" customWidth="1"/>
    <col min="5" max="7" width="13.85546875" style="192" customWidth="1"/>
    <col min="8" max="9" width="15.42578125" style="192" customWidth="1"/>
    <col min="10" max="11" width="15.85546875" style="192" customWidth="1"/>
    <col min="12" max="12" width="9.140625" style="192"/>
    <col min="13" max="13" width="18.140625" style="192" bestFit="1" customWidth="1"/>
    <col min="14" max="16384" width="9.140625" style="192"/>
  </cols>
  <sheetData>
    <row r="1" spans="1:11" ht="22.5" customHeight="1" x14ac:dyDescent="0.25">
      <c r="A1" s="191" t="s">
        <v>202</v>
      </c>
      <c r="B1" s="267" t="s">
        <v>122</v>
      </c>
      <c r="C1" s="268"/>
      <c r="D1" s="259" t="s">
        <v>123</v>
      </c>
      <c r="E1" s="259"/>
      <c r="F1" s="259" t="s">
        <v>124</v>
      </c>
      <c r="G1" s="259"/>
      <c r="H1" s="259" t="s">
        <v>125</v>
      </c>
      <c r="I1" s="259"/>
      <c r="J1" s="259" t="s">
        <v>9</v>
      </c>
      <c r="K1" s="259"/>
    </row>
    <row r="2" spans="1:11" ht="17.25" customHeight="1" x14ac:dyDescent="0.25">
      <c r="A2" s="193"/>
      <c r="B2" s="191" t="s">
        <v>48</v>
      </c>
      <c r="C2" s="191" t="s">
        <v>10</v>
      </c>
      <c r="D2" s="191" t="s">
        <v>48</v>
      </c>
      <c r="E2" s="191" t="s">
        <v>10</v>
      </c>
      <c r="F2" s="191" t="s">
        <v>48</v>
      </c>
      <c r="G2" s="191" t="s">
        <v>10</v>
      </c>
      <c r="H2" s="191" t="s">
        <v>48</v>
      </c>
      <c r="I2" s="191" t="s">
        <v>10</v>
      </c>
      <c r="J2" s="191" t="s">
        <v>48</v>
      </c>
      <c r="K2" s="191" t="s">
        <v>10</v>
      </c>
    </row>
    <row r="3" spans="1:11" ht="17.25" customHeight="1" x14ac:dyDescent="0.25">
      <c r="A3" s="194" t="s">
        <v>11</v>
      </c>
      <c r="B3" s="195">
        <v>4.2300000000000004</v>
      </c>
      <c r="C3" s="195">
        <v>5.88</v>
      </c>
      <c r="D3" s="195">
        <v>1.2</v>
      </c>
      <c r="E3" s="195">
        <v>0.38</v>
      </c>
      <c r="F3" s="195"/>
      <c r="G3" s="195"/>
      <c r="H3" s="195">
        <v>21.9</v>
      </c>
      <c r="I3" s="195">
        <v>89.45</v>
      </c>
      <c r="J3" s="196">
        <f>B3+D3+F3+H3</f>
        <v>27.33</v>
      </c>
      <c r="K3" s="196">
        <f>C3+E3+G3+I3</f>
        <v>95.710000000000008</v>
      </c>
    </row>
    <row r="4" spans="1:11" ht="17.25" customHeight="1" x14ac:dyDescent="0.25">
      <c r="A4" s="194" t="s">
        <v>12</v>
      </c>
      <c r="B4" s="195">
        <v>0.48</v>
      </c>
      <c r="C4" s="195">
        <v>0.26</v>
      </c>
      <c r="D4" s="195">
        <v>184.95</v>
      </c>
      <c r="E4" s="195">
        <v>100.42</v>
      </c>
      <c r="F4" s="195">
        <v>22.24</v>
      </c>
      <c r="G4" s="195">
        <v>5.6</v>
      </c>
      <c r="H4" s="195">
        <v>121.917</v>
      </c>
      <c r="I4" s="235">
        <f>(1828755000/1453.24)/1000</f>
        <v>1258.3984751314304</v>
      </c>
      <c r="J4" s="196">
        <f t="shared" ref="J4:J37" si="0">B4+D4+F4+H4</f>
        <v>329.58699999999999</v>
      </c>
      <c r="K4" s="196">
        <f t="shared" ref="K4:K37" si="1">C4+E4+G4+I4</f>
        <v>1364.6784751314303</v>
      </c>
    </row>
    <row r="5" spans="1:11" ht="17.25" customHeight="1" x14ac:dyDescent="0.25">
      <c r="A5" s="197" t="s">
        <v>13</v>
      </c>
      <c r="B5" s="195"/>
      <c r="C5" s="195"/>
      <c r="D5" s="195">
        <v>1</v>
      </c>
      <c r="E5" s="195">
        <v>0.56000000000000005</v>
      </c>
      <c r="F5" s="195"/>
      <c r="G5" s="195"/>
      <c r="H5" s="195"/>
      <c r="I5" s="195"/>
      <c r="J5" s="196">
        <f t="shared" si="0"/>
        <v>1</v>
      </c>
      <c r="K5" s="196">
        <f t="shared" si="1"/>
        <v>0.56000000000000005</v>
      </c>
    </row>
    <row r="6" spans="1:11" ht="17.25" customHeight="1" x14ac:dyDescent="0.25">
      <c r="A6" s="194" t="s">
        <v>14</v>
      </c>
      <c r="B6" s="195">
        <v>76.569999999999993</v>
      </c>
      <c r="C6" s="195">
        <v>74.040000000000006</v>
      </c>
      <c r="D6" s="195">
        <v>1</v>
      </c>
      <c r="E6" s="195">
        <v>6.5</v>
      </c>
      <c r="F6" s="195"/>
      <c r="G6" s="195"/>
      <c r="H6" s="195">
        <v>20.233000000000001</v>
      </c>
      <c r="I6" s="195">
        <v>94.02</v>
      </c>
      <c r="J6" s="196">
        <f t="shared" si="0"/>
        <v>97.802999999999997</v>
      </c>
      <c r="K6" s="196">
        <f t="shared" si="1"/>
        <v>174.56</v>
      </c>
    </row>
    <row r="7" spans="1:11" ht="17.25" customHeight="1" x14ac:dyDescent="0.25">
      <c r="A7" s="194" t="s">
        <v>15</v>
      </c>
      <c r="B7" s="195"/>
      <c r="C7" s="195"/>
      <c r="D7" s="195"/>
      <c r="E7" s="195"/>
      <c r="F7" s="195"/>
      <c r="G7" s="195"/>
      <c r="H7" s="195">
        <v>15.246</v>
      </c>
      <c r="I7" s="195">
        <v>97.331999999999994</v>
      </c>
      <c r="J7" s="196">
        <f t="shared" si="0"/>
        <v>15.246</v>
      </c>
      <c r="K7" s="196">
        <f t="shared" si="1"/>
        <v>97.331999999999994</v>
      </c>
    </row>
    <row r="8" spans="1:11" ht="17.25" customHeight="1" x14ac:dyDescent="0.25">
      <c r="A8" s="194" t="s">
        <v>55</v>
      </c>
      <c r="B8" s="195"/>
      <c r="C8" s="195"/>
      <c r="D8" s="195">
        <v>13.6</v>
      </c>
      <c r="E8" s="195">
        <v>8.75</v>
      </c>
      <c r="F8" s="195"/>
      <c r="G8" s="195"/>
      <c r="H8" s="195">
        <v>1.52</v>
      </c>
      <c r="I8" s="195">
        <v>15.21</v>
      </c>
      <c r="J8" s="196">
        <f t="shared" si="0"/>
        <v>15.12</v>
      </c>
      <c r="K8" s="196">
        <f t="shared" si="1"/>
        <v>23.96</v>
      </c>
    </row>
    <row r="9" spans="1:11" ht="17.25" customHeight="1" x14ac:dyDescent="0.25">
      <c r="A9" s="194" t="s">
        <v>16</v>
      </c>
      <c r="B9" s="195"/>
      <c r="C9" s="195"/>
      <c r="D9" s="195"/>
      <c r="E9" s="195"/>
      <c r="F9" s="195"/>
      <c r="G9" s="195"/>
      <c r="H9" s="195"/>
      <c r="I9" s="195"/>
      <c r="J9" s="196">
        <f t="shared" si="0"/>
        <v>0</v>
      </c>
      <c r="K9" s="196">
        <f t="shared" si="1"/>
        <v>0</v>
      </c>
    </row>
    <row r="10" spans="1:11" ht="17.25" customHeight="1" x14ac:dyDescent="0.25">
      <c r="A10" s="194" t="s">
        <v>17</v>
      </c>
      <c r="B10" s="195"/>
      <c r="C10" s="195"/>
      <c r="D10" s="195"/>
      <c r="E10" s="195"/>
      <c r="F10" s="195"/>
      <c r="G10" s="195"/>
      <c r="H10" s="195"/>
      <c r="I10" s="195"/>
      <c r="J10" s="196">
        <f t="shared" si="0"/>
        <v>0</v>
      </c>
      <c r="K10" s="196">
        <f t="shared" si="1"/>
        <v>0</v>
      </c>
    </row>
    <row r="11" spans="1:11" ht="17.25" customHeight="1" x14ac:dyDescent="0.25">
      <c r="A11" s="194" t="s">
        <v>18</v>
      </c>
      <c r="B11" s="195"/>
      <c r="C11" s="195"/>
      <c r="D11" s="195"/>
      <c r="E11" s="195"/>
      <c r="F11" s="195"/>
      <c r="G11" s="195"/>
      <c r="H11" s="195"/>
      <c r="I11" s="195"/>
      <c r="J11" s="196">
        <f t="shared" si="0"/>
        <v>0</v>
      </c>
      <c r="K11" s="196">
        <f t="shared" si="1"/>
        <v>0</v>
      </c>
    </row>
    <row r="12" spans="1:11" ht="17.25" customHeight="1" x14ac:dyDescent="0.25">
      <c r="A12" s="194" t="s">
        <v>19</v>
      </c>
      <c r="B12" s="195">
        <v>1.74</v>
      </c>
      <c r="C12" s="195">
        <v>2.9</v>
      </c>
      <c r="D12" s="195">
        <v>57.97</v>
      </c>
      <c r="E12" s="195">
        <v>32.35</v>
      </c>
      <c r="F12" s="195"/>
      <c r="G12" s="195"/>
      <c r="H12" s="195">
        <v>25.75</v>
      </c>
      <c r="I12" s="195">
        <v>88.18</v>
      </c>
      <c r="J12" s="196">
        <f t="shared" si="0"/>
        <v>85.460000000000008</v>
      </c>
      <c r="K12" s="196">
        <f t="shared" si="1"/>
        <v>123.43</v>
      </c>
    </row>
    <row r="13" spans="1:11" ht="17.25" customHeight="1" x14ac:dyDescent="0.25">
      <c r="A13" s="194" t="s">
        <v>20</v>
      </c>
      <c r="B13" s="195"/>
      <c r="C13" s="195"/>
      <c r="D13" s="195">
        <v>7.97</v>
      </c>
      <c r="E13" s="195">
        <v>24.52</v>
      </c>
      <c r="F13" s="195"/>
      <c r="G13" s="195"/>
      <c r="H13" s="195">
        <v>31.63</v>
      </c>
      <c r="I13" s="195">
        <v>203.05</v>
      </c>
      <c r="J13" s="196">
        <f t="shared" si="0"/>
        <v>39.6</v>
      </c>
      <c r="K13" s="196">
        <f t="shared" si="1"/>
        <v>227.57000000000002</v>
      </c>
    </row>
    <row r="14" spans="1:11" ht="17.25" customHeight="1" x14ac:dyDescent="0.25">
      <c r="A14" s="194" t="s">
        <v>21</v>
      </c>
      <c r="B14" s="195"/>
      <c r="C14" s="195"/>
      <c r="D14" s="195"/>
      <c r="E14" s="195"/>
      <c r="F14" s="195"/>
      <c r="G14" s="195"/>
      <c r="H14" s="195"/>
      <c r="I14" s="195"/>
      <c r="J14" s="196">
        <f t="shared" si="0"/>
        <v>0</v>
      </c>
      <c r="K14" s="196">
        <f t="shared" si="1"/>
        <v>0</v>
      </c>
    </row>
    <row r="15" spans="1:11" ht="17.25" customHeight="1" x14ac:dyDescent="0.25">
      <c r="A15" s="194" t="s">
        <v>22</v>
      </c>
      <c r="B15" s="195"/>
      <c r="C15" s="195"/>
      <c r="D15" s="195"/>
      <c r="E15" s="195"/>
      <c r="F15" s="195"/>
      <c r="G15" s="195"/>
      <c r="H15" s="195"/>
      <c r="I15" s="195"/>
      <c r="J15" s="196">
        <f t="shared" si="0"/>
        <v>0</v>
      </c>
      <c r="K15" s="196">
        <f t="shared" si="1"/>
        <v>0</v>
      </c>
    </row>
    <row r="16" spans="1:11" ht="17.25" customHeight="1" x14ac:dyDescent="0.25">
      <c r="A16" s="194" t="s">
        <v>23</v>
      </c>
      <c r="B16" s="195"/>
      <c r="C16" s="195"/>
      <c r="D16" s="195"/>
      <c r="E16" s="195"/>
      <c r="F16" s="195"/>
      <c r="G16" s="195"/>
      <c r="H16" s="195"/>
      <c r="I16" s="195"/>
      <c r="J16" s="196">
        <f t="shared" si="0"/>
        <v>0</v>
      </c>
      <c r="K16" s="196">
        <f t="shared" si="1"/>
        <v>0</v>
      </c>
    </row>
    <row r="17" spans="1:11" ht="17.25" customHeight="1" x14ac:dyDescent="0.25">
      <c r="A17" s="194" t="s">
        <v>24</v>
      </c>
      <c r="B17" s="195"/>
      <c r="C17" s="195"/>
      <c r="D17" s="195">
        <v>13.824999999999999</v>
      </c>
      <c r="E17" s="195">
        <v>4.5999999999999996</v>
      </c>
      <c r="F17" s="195"/>
      <c r="G17" s="195"/>
      <c r="H17" s="195"/>
      <c r="I17" s="195"/>
      <c r="J17" s="196">
        <f t="shared" si="0"/>
        <v>13.824999999999999</v>
      </c>
      <c r="K17" s="196">
        <f t="shared" si="1"/>
        <v>4.5999999999999996</v>
      </c>
    </row>
    <row r="18" spans="1:11" s="203" customFormat="1" ht="17.25" customHeight="1" x14ac:dyDescent="0.25">
      <c r="A18" s="194" t="s">
        <v>161</v>
      </c>
      <c r="B18" s="195">
        <v>217.48</v>
      </c>
      <c r="C18" s="195">
        <v>348.77</v>
      </c>
      <c r="D18" s="195">
        <v>124.11</v>
      </c>
      <c r="E18" s="195">
        <v>80.61</v>
      </c>
      <c r="F18" s="195">
        <v>11.683</v>
      </c>
      <c r="G18" s="195">
        <v>2.1419999999999999</v>
      </c>
      <c r="H18" s="195">
        <v>517.29</v>
      </c>
      <c r="I18" s="195">
        <v>3469.48</v>
      </c>
      <c r="J18" s="196">
        <f t="shared" si="0"/>
        <v>870.56299999999987</v>
      </c>
      <c r="K18" s="196">
        <f t="shared" si="1"/>
        <v>3901.002</v>
      </c>
    </row>
    <row r="19" spans="1:11" ht="17.25" customHeight="1" x14ac:dyDescent="0.25">
      <c r="A19" s="194" t="s">
        <v>26</v>
      </c>
      <c r="B19" s="195">
        <v>102.09</v>
      </c>
      <c r="C19" s="195">
        <v>113.36</v>
      </c>
      <c r="D19" s="195">
        <v>84.93</v>
      </c>
      <c r="E19" s="195">
        <v>80.12</v>
      </c>
      <c r="F19" s="195">
        <v>13.483000000000001</v>
      </c>
      <c r="G19" s="195">
        <v>6.32</v>
      </c>
      <c r="H19" s="195">
        <v>797.20500000000004</v>
      </c>
      <c r="I19" s="195">
        <v>4107.37</v>
      </c>
      <c r="J19" s="196">
        <f t="shared" si="0"/>
        <v>997.70800000000008</v>
      </c>
      <c r="K19" s="196">
        <f t="shared" si="1"/>
        <v>4307.17</v>
      </c>
    </row>
    <row r="20" spans="1:11" ht="17.25" customHeight="1" x14ac:dyDescent="0.25">
      <c r="A20" s="194" t="s">
        <v>56</v>
      </c>
      <c r="B20" s="195"/>
      <c r="C20" s="195"/>
      <c r="D20" s="195"/>
      <c r="E20" s="195"/>
      <c r="F20" s="195"/>
      <c r="G20" s="195"/>
      <c r="H20" s="195">
        <v>2.57</v>
      </c>
      <c r="I20" s="195">
        <v>48.8</v>
      </c>
      <c r="J20" s="196">
        <f t="shared" si="0"/>
        <v>2.57</v>
      </c>
      <c r="K20" s="196">
        <f t="shared" si="1"/>
        <v>48.8</v>
      </c>
    </row>
    <row r="21" spans="1:11" ht="17.25" customHeight="1" x14ac:dyDescent="0.25">
      <c r="A21" s="194" t="s">
        <v>27</v>
      </c>
      <c r="B21" s="195"/>
      <c r="C21" s="195"/>
      <c r="D21" s="195"/>
      <c r="E21" s="195"/>
      <c r="F21" s="195"/>
      <c r="G21" s="195"/>
      <c r="H21" s="195"/>
      <c r="I21" s="195"/>
      <c r="J21" s="196">
        <f t="shared" si="0"/>
        <v>0</v>
      </c>
      <c r="K21" s="196">
        <f t="shared" si="1"/>
        <v>0</v>
      </c>
    </row>
    <row r="22" spans="1:11" ht="17.25" customHeight="1" x14ac:dyDescent="0.25">
      <c r="A22" s="194" t="s">
        <v>28</v>
      </c>
      <c r="B22" s="195">
        <v>2.2000000000000002</v>
      </c>
      <c r="C22" s="195">
        <v>3.58</v>
      </c>
      <c r="D22" s="195">
        <v>184.2</v>
      </c>
      <c r="E22" s="195">
        <v>236.2</v>
      </c>
      <c r="F22" s="195"/>
      <c r="G22" s="195"/>
      <c r="H22" s="195">
        <v>28.082000000000001</v>
      </c>
      <c r="I22" s="195">
        <v>129.02000000000001</v>
      </c>
      <c r="J22" s="196">
        <f t="shared" si="0"/>
        <v>214.48199999999997</v>
      </c>
      <c r="K22" s="196">
        <f t="shared" si="1"/>
        <v>368.8</v>
      </c>
    </row>
    <row r="23" spans="1:11" ht="17.25" customHeight="1" x14ac:dyDescent="0.25">
      <c r="A23" s="198" t="s">
        <v>29</v>
      </c>
      <c r="B23" s="195"/>
      <c r="C23" s="195"/>
      <c r="D23" s="195">
        <v>0.9</v>
      </c>
      <c r="E23" s="195">
        <v>1.5</v>
      </c>
      <c r="F23" s="195"/>
      <c r="G23" s="195"/>
      <c r="H23" s="204"/>
      <c r="I23" s="195"/>
      <c r="J23" s="196">
        <f t="shared" si="0"/>
        <v>0.9</v>
      </c>
      <c r="K23" s="196">
        <f t="shared" si="1"/>
        <v>1.5</v>
      </c>
    </row>
    <row r="24" spans="1:11" ht="17.25" customHeight="1" x14ac:dyDescent="0.25">
      <c r="A24" s="194" t="s">
        <v>30</v>
      </c>
      <c r="B24" s="195">
        <v>17.11</v>
      </c>
      <c r="C24" s="195">
        <v>24.68</v>
      </c>
      <c r="D24" s="195">
        <v>8.5</v>
      </c>
      <c r="E24" s="195">
        <v>4.72</v>
      </c>
      <c r="F24" s="195"/>
      <c r="G24" s="195"/>
      <c r="H24" s="195"/>
      <c r="I24" s="195"/>
      <c r="J24" s="196">
        <f t="shared" si="0"/>
        <v>25.61</v>
      </c>
      <c r="K24" s="196">
        <f t="shared" si="1"/>
        <v>29.4</v>
      </c>
    </row>
    <row r="25" spans="1:11" ht="17.25" customHeight="1" x14ac:dyDescent="0.25">
      <c r="A25" s="194" t="s">
        <v>31</v>
      </c>
      <c r="B25" s="195">
        <v>7.57</v>
      </c>
      <c r="C25" s="195">
        <v>4.32</v>
      </c>
      <c r="D25" s="195">
        <v>2E-3</v>
      </c>
      <c r="E25" s="195">
        <v>2E-3</v>
      </c>
      <c r="F25" s="195"/>
      <c r="G25" s="195"/>
      <c r="H25" s="195">
        <v>0.03</v>
      </c>
      <c r="I25" s="195">
        <v>8.2000000000000003E-2</v>
      </c>
      <c r="J25" s="196">
        <f t="shared" si="0"/>
        <v>7.6020000000000003</v>
      </c>
      <c r="K25" s="196">
        <f t="shared" si="1"/>
        <v>4.4039999999999999</v>
      </c>
    </row>
    <row r="26" spans="1:11" ht="17.25" customHeight="1" x14ac:dyDescent="0.25">
      <c r="A26" s="197" t="s">
        <v>32</v>
      </c>
      <c r="B26" s="195">
        <v>0.22</v>
      </c>
      <c r="C26" s="195">
        <v>0.12</v>
      </c>
      <c r="D26" s="195"/>
      <c r="E26" s="195"/>
      <c r="F26" s="195"/>
      <c r="G26" s="195"/>
      <c r="H26" s="195">
        <v>1.45</v>
      </c>
      <c r="I26" s="195">
        <v>11.23</v>
      </c>
      <c r="J26" s="196">
        <f t="shared" si="0"/>
        <v>1.67</v>
      </c>
      <c r="K26" s="196">
        <f t="shared" si="1"/>
        <v>11.35</v>
      </c>
    </row>
    <row r="27" spans="1:11" ht="17.25" customHeight="1" x14ac:dyDescent="0.25">
      <c r="A27" s="194" t="s">
        <v>189</v>
      </c>
      <c r="B27" s="195"/>
      <c r="C27" s="195"/>
      <c r="D27" s="195">
        <v>166.91</v>
      </c>
      <c r="E27" s="195">
        <v>85.71</v>
      </c>
      <c r="F27" s="195"/>
      <c r="G27" s="195"/>
      <c r="H27" s="195">
        <v>50.78</v>
      </c>
      <c r="I27" s="195">
        <v>223.63</v>
      </c>
      <c r="J27" s="196">
        <f t="shared" si="0"/>
        <v>217.69</v>
      </c>
      <c r="K27" s="196">
        <f t="shared" si="1"/>
        <v>309.33999999999997</v>
      </c>
    </row>
    <row r="28" spans="1:11" ht="17.25" customHeight="1" x14ac:dyDescent="0.25">
      <c r="A28" s="197" t="s">
        <v>167</v>
      </c>
      <c r="B28" s="195">
        <v>0.06</v>
      </c>
      <c r="C28" s="195">
        <v>0.08</v>
      </c>
      <c r="D28" s="195">
        <v>5</v>
      </c>
      <c r="E28" s="195">
        <v>3</v>
      </c>
      <c r="F28" s="195"/>
      <c r="G28" s="195"/>
      <c r="H28" s="195">
        <v>1.958</v>
      </c>
      <c r="I28" s="195">
        <v>23.46</v>
      </c>
      <c r="J28" s="196">
        <f t="shared" si="0"/>
        <v>7.0179999999999998</v>
      </c>
      <c r="K28" s="196">
        <f t="shared" si="1"/>
        <v>26.54</v>
      </c>
    </row>
    <row r="29" spans="1:11" ht="17.25" customHeight="1" x14ac:dyDescent="0.25">
      <c r="A29" s="194" t="s">
        <v>33</v>
      </c>
      <c r="B29" s="195"/>
      <c r="C29" s="195"/>
      <c r="D29" s="195"/>
      <c r="E29" s="195"/>
      <c r="F29" s="195"/>
      <c r="G29" s="195"/>
      <c r="H29" s="195"/>
      <c r="I29" s="195"/>
      <c r="J29" s="196">
        <f t="shared" si="0"/>
        <v>0</v>
      </c>
      <c r="K29" s="196">
        <f t="shared" si="1"/>
        <v>0</v>
      </c>
    </row>
    <row r="30" spans="1:11" ht="17.25" customHeight="1" x14ac:dyDescent="0.25">
      <c r="A30" s="194" t="s">
        <v>34</v>
      </c>
      <c r="B30" s="195"/>
      <c r="C30" s="195"/>
      <c r="D30" s="195"/>
      <c r="E30" s="195"/>
      <c r="F30" s="195"/>
      <c r="G30" s="195"/>
      <c r="H30" s="195"/>
      <c r="I30" s="195"/>
      <c r="J30" s="196">
        <f t="shared" si="0"/>
        <v>0</v>
      </c>
      <c r="K30" s="196">
        <f t="shared" si="1"/>
        <v>0</v>
      </c>
    </row>
    <row r="31" spans="1:11" ht="17.25" customHeight="1" x14ac:dyDescent="0.25">
      <c r="A31" s="194" t="s">
        <v>35</v>
      </c>
      <c r="B31" s="195"/>
      <c r="C31" s="195"/>
      <c r="D31" s="195"/>
      <c r="E31" s="195"/>
      <c r="F31" s="195"/>
      <c r="G31" s="195"/>
      <c r="H31" s="195"/>
      <c r="I31" s="195"/>
      <c r="J31" s="196">
        <f t="shared" si="0"/>
        <v>0</v>
      </c>
      <c r="K31" s="196">
        <f t="shared" si="1"/>
        <v>0</v>
      </c>
    </row>
    <row r="32" spans="1:11" ht="17.25" customHeight="1" x14ac:dyDescent="0.25">
      <c r="A32" s="194" t="s">
        <v>36</v>
      </c>
      <c r="B32" s="195">
        <v>6.06</v>
      </c>
      <c r="C32" s="195">
        <v>13.2</v>
      </c>
      <c r="D32" s="195">
        <v>139.41999999999999</v>
      </c>
      <c r="E32" s="195">
        <v>67.39</v>
      </c>
      <c r="F32" s="204">
        <v>23.959</v>
      </c>
      <c r="G32" s="204">
        <v>1.071</v>
      </c>
      <c r="H32" s="195">
        <v>465.108</v>
      </c>
      <c r="I32" s="195">
        <v>4760.67</v>
      </c>
      <c r="J32" s="196">
        <f t="shared" si="0"/>
        <v>634.54700000000003</v>
      </c>
      <c r="K32" s="196">
        <f t="shared" si="1"/>
        <v>4842.3310000000001</v>
      </c>
    </row>
    <row r="33" spans="1:11" ht="17.25" customHeight="1" x14ac:dyDescent="0.25">
      <c r="A33" s="199" t="s">
        <v>241</v>
      </c>
      <c r="B33" s="195"/>
      <c r="C33" s="195"/>
      <c r="D33" s="195"/>
      <c r="E33" s="195"/>
      <c r="F33" s="204"/>
      <c r="G33" s="204"/>
      <c r="H33" s="195">
        <v>1.6060000000000001</v>
      </c>
      <c r="I33" s="195">
        <v>16.576000000000001</v>
      </c>
      <c r="J33" s="196">
        <f t="shared" si="0"/>
        <v>1.6060000000000001</v>
      </c>
      <c r="K33" s="196">
        <f t="shared" si="1"/>
        <v>16.576000000000001</v>
      </c>
    </row>
    <row r="34" spans="1:11" ht="17.25" customHeight="1" x14ac:dyDescent="0.25">
      <c r="A34" s="194" t="s">
        <v>37</v>
      </c>
      <c r="B34" s="195">
        <v>4.7</v>
      </c>
      <c r="C34" s="195">
        <v>9.92</v>
      </c>
      <c r="D34" s="195">
        <v>4.2</v>
      </c>
      <c r="E34" s="195">
        <v>2.8</v>
      </c>
      <c r="F34" s="195"/>
      <c r="G34" s="195"/>
      <c r="H34" s="195">
        <v>6.91</v>
      </c>
      <c r="I34" s="195">
        <v>19.48</v>
      </c>
      <c r="J34" s="196">
        <f t="shared" si="0"/>
        <v>15.81</v>
      </c>
      <c r="K34" s="196">
        <f t="shared" si="1"/>
        <v>32.200000000000003</v>
      </c>
    </row>
    <row r="35" spans="1:11" ht="17.25" customHeight="1" x14ac:dyDescent="0.25">
      <c r="A35" s="194" t="s">
        <v>38</v>
      </c>
      <c r="B35" s="195"/>
      <c r="C35" s="195"/>
      <c r="D35" s="195"/>
      <c r="E35" s="195"/>
      <c r="F35" s="195"/>
      <c r="G35" s="195"/>
      <c r="H35" s="195"/>
      <c r="I35" s="195"/>
      <c r="J35" s="196">
        <f t="shared" si="0"/>
        <v>0</v>
      </c>
      <c r="K35" s="196">
        <f t="shared" si="1"/>
        <v>0</v>
      </c>
    </row>
    <row r="36" spans="1:11" ht="17.25" customHeight="1" x14ac:dyDescent="0.25">
      <c r="A36" s="194" t="s">
        <v>90</v>
      </c>
      <c r="B36" s="195"/>
      <c r="C36" s="195"/>
      <c r="D36" s="195"/>
      <c r="E36" s="195"/>
      <c r="F36" s="195"/>
      <c r="G36" s="195"/>
      <c r="H36" s="195"/>
      <c r="I36" s="195"/>
      <c r="J36" s="196">
        <f t="shared" si="0"/>
        <v>0</v>
      </c>
      <c r="K36" s="196">
        <f t="shared" si="1"/>
        <v>0</v>
      </c>
    </row>
    <row r="37" spans="1:11" ht="17.25" customHeight="1" x14ac:dyDescent="0.25">
      <c r="A37" s="194" t="s">
        <v>40</v>
      </c>
      <c r="B37" s="195">
        <v>11.39</v>
      </c>
      <c r="C37" s="195">
        <v>21.16</v>
      </c>
      <c r="D37" s="195">
        <v>11.16</v>
      </c>
      <c r="E37" s="195">
        <v>13.03</v>
      </c>
      <c r="F37" s="195"/>
      <c r="G37" s="195"/>
      <c r="H37" s="195">
        <v>29.3</v>
      </c>
      <c r="I37" s="195">
        <v>255.22</v>
      </c>
      <c r="J37" s="196">
        <f t="shared" si="0"/>
        <v>51.85</v>
      </c>
      <c r="K37" s="196">
        <f t="shared" si="1"/>
        <v>289.40999999999997</v>
      </c>
    </row>
    <row r="38" spans="1:11" ht="17.25" customHeight="1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6"/>
      <c r="K38" s="196"/>
    </row>
    <row r="39" spans="1:11" ht="17.25" customHeight="1" x14ac:dyDescent="0.25">
      <c r="A39" s="194" t="s">
        <v>9</v>
      </c>
      <c r="B39" s="205">
        <f>SUM(B3:B38)</f>
        <v>451.90000000000003</v>
      </c>
      <c r="C39" s="205">
        <f t="shared" ref="C39:K39" si="2">SUM(C3:C38)</f>
        <v>622.2700000000001</v>
      </c>
      <c r="D39" s="205">
        <f t="shared" si="2"/>
        <v>1010.8469999999999</v>
      </c>
      <c r="E39" s="205">
        <f t="shared" si="2"/>
        <v>753.16199999999992</v>
      </c>
      <c r="F39" s="205">
        <f t="shared" si="2"/>
        <v>71.365000000000009</v>
      </c>
      <c r="G39" s="205">
        <f t="shared" si="2"/>
        <v>15.132999999999999</v>
      </c>
      <c r="H39" s="205">
        <f t="shared" si="2"/>
        <v>2140.4850000000006</v>
      </c>
      <c r="I39" s="205">
        <f t="shared" si="2"/>
        <v>14910.658475131428</v>
      </c>
      <c r="J39" s="205">
        <f t="shared" si="2"/>
        <v>3674.5970000000007</v>
      </c>
      <c r="K39" s="205">
        <f t="shared" si="2"/>
        <v>16301.22347513143</v>
      </c>
    </row>
    <row r="40" spans="1:11" ht="17.25" customHeight="1" x14ac:dyDescent="0.25">
      <c r="A40" s="236" t="s">
        <v>303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37"/>
    </row>
    <row r="41" spans="1:11" ht="17.25" customHeight="1" x14ac:dyDescent="0.25">
      <c r="A41" s="236" t="s">
        <v>209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</row>
    <row r="42" spans="1:11" ht="17.25" customHeight="1" x14ac:dyDescent="0.25">
      <c r="A42" s="206" t="s">
        <v>192</v>
      </c>
      <c r="B42" s="203"/>
      <c r="C42" s="203"/>
      <c r="D42" s="203"/>
      <c r="E42" s="203"/>
      <c r="F42" s="203"/>
      <c r="G42" s="203"/>
      <c r="H42" s="203"/>
      <c r="I42" s="203"/>
    </row>
    <row r="43" spans="1:11" ht="17.25" customHeight="1" x14ac:dyDescent="0.25">
      <c r="A43" s="266" t="s">
        <v>194</v>
      </c>
      <c r="B43" s="266"/>
      <c r="C43" s="266"/>
      <c r="D43" s="266"/>
      <c r="E43" s="266"/>
      <c r="F43" s="207"/>
      <c r="G43" s="207"/>
      <c r="H43" s="207"/>
      <c r="I43" s="207"/>
    </row>
    <row r="44" spans="1:11" ht="17.25" customHeight="1" x14ac:dyDescent="0.25">
      <c r="A44" s="208" t="s">
        <v>196</v>
      </c>
      <c r="B44" s="208"/>
      <c r="C44" s="208"/>
      <c r="D44" s="208"/>
      <c r="E44" s="208"/>
      <c r="F44" s="208"/>
      <c r="G44" s="208"/>
      <c r="H44" s="208"/>
      <c r="I44" s="208"/>
    </row>
    <row r="45" spans="1:11" ht="17.25" customHeight="1" x14ac:dyDescent="0.25">
      <c r="A45" s="207" t="s">
        <v>195</v>
      </c>
      <c r="B45" s="207"/>
      <c r="C45" s="207"/>
      <c r="D45" s="207"/>
      <c r="E45" s="207"/>
      <c r="F45" s="207"/>
      <c r="G45" s="207"/>
      <c r="H45" s="207"/>
      <c r="I45" s="207"/>
    </row>
    <row r="46" spans="1:11" ht="17.25" customHeight="1" x14ac:dyDescent="0.25">
      <c r="A46" s="207" t="s">
        <v>193</v>
      </c>
      <c r="B46" s="207"/>
      <c r="C46" s="207"/>
      <c r="D46" s="207"/>
      <c r="E46" s="207"/>
      <c r="F46" s="207"/>
      <c r="G46" s="207"/>
      <c r="H46" s="207"/>
      <c r="I46" s="207"/>
    </row>
    <row r="47" spans="1:11" ht="17.25" customHeight="1" x14ac:dyDescent="0.25">
      <c r="A47" s="209"/>
      <c r="B47" s="209"/>
      <c r="C47" s="209"/>
      <c r="D47" s="209"/>
      <c r="E47" s="209"/>
      <c r="F47" s="209"/>
      <c r="G47" s="209"/>
      <c r="H47" s="209"/>
      <c r="I47" s="209"/>
    </row>
  </sheetData>
  <mergeCells count="6">
    <mergeCell ref="A43:E43"/>
    <mergeCell ref="J1:K1"/>
    <mergeCell ref="B1:C1"/>
    <mergeCell ref="D1:E1"/>
    <mergeCell ref="F1:G1"/>
    <mergeCell ref="H1:I1"/>
  </mergeCells>
  <phoneticPr fontId="20" type="noConversion"/>
  <printOptions horizontalCentered="1" verticalCentered="1"/>
  <pageMargins left="0.31" right="0.17" top="0.5" bottom="0.22" header="0.28999999999999998" footer="0.16"/>
  <pageSetup paperSize="9" scale="73" orientation="landscape" r:id="rId1"/>
  <headerFooter alignWithMargins="0">
    <oddHeader>&amp;C&amp;"-,Bold"&amp;16Area and Production of Plantation Crops 2013-14 (Final)&amp;R&amp;"-,Bold"&amp;11Area in '000 Ha
Production in '000 MT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25" workbookViewId="0">
      <selection activeCell="L52" sqref="L52"/>
    </sheetView>
  </sheetViews>
  <sheetFormatPr defaultRowHeight="15" x14ac:dyDescent="0.25"/>
  <cols>
    <col min="1" max="1" width="20.85546875" style="182" customWidth="1"/>
    <col min="2" max="37" width="10.42578125" style="182" customWidth="1"/>
    <col min="38" max="16384" width="9.140625" style="182"/>
  </cols>
  <sheetData>
    <row r="1" spans="1:37" ht="16.5" customHeight="1" x14ac:dyDescent="0.25">
      <c r="A1" s="181" t="s">
        <v>202</v>
      </c>
      <c r="B1" s="269" t="s">
        <v>126</v>
      </c>
      <c r="C1" s="269"/>
      <c r="D1" s="269" t="s">
        <v>127</v>
      </c>
      <c r="E1" s="269"/>
      <c r="F1" s="269" t="s">
        <v>183</v>
      </c>
      <c r="G1" s="269"/>
      <c r="H1" s="269" t="s">
        <v>128</v>
      </c>
      <c r="I1" s="269"/>
      <c r="J1" s="269" t="s">
        <v>129</v>
      </c>
      <c r="K1" s="269"/>
      <c r="L1" s="269" t="s">
        <v>130</v>
      </c>
      <c r="M1" s="269"/>
      <c r="N1" s="269" t="s">
        <v>131</v>
      </c>
      <c r="O1" s="269"/>
      <c r="P1" s="269" t="s">
        <v>132</v>
      </c>
      <c r="Q1" s="269"/>
      <c r="R1" s="269" t="s">
        <v>133</v>
      </c>
      <c r="S1" s="269"/>
      <c r="T1" s="269" t="s">
        <v>216</v>
      </c>
      <c r="U1" s="269"/>
      <c r="V1" s="269" t="s">
        <v>134</v>
      </c>
      <c r="W1" s="269"/>
      <c r="X1" s="269" t="s">
        <v>184</v>
      </c>
      <c r="Y1" s="269"/>
      <c r="Z1" s="270" t="s">
        <v>185</v>
      </c>
      <c r="AA1" s="270"/>
      <c r="AB1" s="269" t="s">
        <v>135</v>
      </c>
      <c r="AC1" s="269"/>
      <c r="AD1" s="269" t="s">
        <v>136</v>
      </c>
      <c r="AE1" s="269"/>
      <c r="AF1" s="269" t="s">
        <v>137</v>
      </c>
      <c r="AG1" s="269"/>
      <c r="AH1" s="269" t="s">
        <v>186</v>
      </c>
      <c r="AI1" s="269"/>
      <c r="AJ1" s="269" t="s">
        <v>53</v>
      </c>
      <c r="AK1" s="269"/>
    </row>
    <row r="2" spans="1:37" ht="17.25" customHeight="1" x14ac:dyDescent="0.25">
      <c r="A2" s="183"/>
      <c r="B2" s="210" t="s">
        <v>48</v>
      </c>
      <c r="C2" s="210" t="s">
        <v>10</v>
      </c>
      <c r="D2" s="210" t="s">
        <v>48</v>
      </c>
      <c r="E2" s="210" t="s">
        <v>10</v>
      </c>
      <c r="F2" s="210" t="s">
        <v>48</v>
      </c>
      <c r="G2" s="210" t="s">
        <v>10</v>
      </c>
      <c r="H2" s="210" t="s">
        <v>48</v>
      </c>
      <c r="I2" s="210" t="s">
        <v>10</v>
      </c>
      <c r="J2" s="210" t="s">
        <v>48</v>
      </c>
      <c r="K2" s="210" t="s">
        <v>10</v>
      </c>
      <c r="L2" s="210" t="s">
        <v>48</v>
      </c>
      <c r="M2" s="210" t="s">
        <v>10</v>
      </c>
      <c r="N2" s="210" t="s">
        <v>48</v>
      </c>
      <c r="O2" s="210" t="s">
        <v>10</v>
      </c>
      <c r="P2" s="210" t="s">
        <v>48</v>
      </c>
      <c r="Q2" s="210" t="s">
        <v>10</v>
      </c>
      <c r="R2" s="210" t="s">
        <v>48</v>
      </c>
      <c r="S2" s="210" t="s">
        <v>10</v>
      </c>
      <c r="T2" s="210" t="s">
        <v>48</v>
      </c>
      <c r="U2" s="210" t="s">
        <v>10</v>
      </c>
      <c r="V2" s="210" t="s">
        <v>48</v>
      </c>
      <c r="W2" s="210" t="s">
        <v>10</v>
      </c>
      <c r="X2" s="210" t="s">
        <v>48</v>
      </c>
      <c r="Y2" s="210" t="s">
        <v>10</v>
      </c>
      <c r="Z2" s="210" t="s">
        <v>48</v>
      </c>
      <c r="AA2" s="210" t="s">
        <v>10</v>
      </c>
      <c r="AB2" s="210" t="s">
        <v>48</v>
      </c>
      <c r="AC2" s="210" t="s">
        <v>10</v>
      </c>
      <c r="AD2" s="210" t="s">
        <v>48</v>
      </c>
      <c r="AE2" s="210" t="s">
        <v>10</v>
      </c>
      <c r="AF2" s="210" t="s">
        <v>48</v>
      </c>
      <c r="AG2" s="210" t="s">
        <v>10</v>
      </c>
      <c r="AH2" s="210" t="s">
        <v>48</v>
      </c>
      <c r="AI2" s="210" t="s">
        <v>10</v>
      </c>
      <c r="AJ2" s="210" t="s">
        <v>48</v>
      </c>
      <c r="AK2" s="210" t="s">
        <v>10</v>
      </c>
    </row>
    <row r="3" spans="1:37" ht="13.5" customHeight="1" x14ac:dyDescent="0.25">
      <c r="A3" s="184" t="s">
        <v>11</v>
      </c>
      <c r="B3" s="185">
        <v>0.6</v>
      </c>
      <c r="C3" s="185">
        <v>0.13</v>
      </c>
      <c r="D3" s="185">
        <v>0.215</v>
      </c>
      <c r="E3" s="185">
        <v>1.91</v>
      </c>
      <c r="F3" s="185">
        <v>0.4</v>
      </c>
      <c r="G3" s="185">
        <v>0.61</v>
      </c>
      <c r="H3" s="185">
        <v>0.08</v>
      </c>
      <c r="I3" s="185">
        <v>0.47</v>
      </c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>
        <v>0.15</v>
      </c>
      <c r="AA3" s="185">
        <v>0.04</v>
      </c>
      <c r="AB3" s="185">
        <v>7.0000000000000007E-2</v>
      </c>
      <c r="AC3" s="185">
        <v>0.05</v>
      </c>
      <c r="AD3" s="185">
        <v>0.16</v>
      </c>
      <c r="AE3" s="185">
        <v>0.01</v>
      </c>
      <c r="AF3" s="185"/>
      <c r="AG3" s="185"/>
      <c r="AH3" s="185"/>
      <c r="AI3" s="185"/>
      <c r="AJ3" s="211">
        <f>B3+D3+F3+H3+J3+L3+N3+P3+R3+T3+V3+X3+Z3+AB3+AD3+AF3+AH3</f>
        <v>1.6749999999999998</v>
      </c>
      <c r="AK3" s="211">
        <f>C3+E3+G3+I3+K3+M3+O3+Q3+S3+U3+W3+Y3+AA3+AC3+AE3+AG3+AI3</f>
        <v>3.2199999999999998</v>
      </c>
    </row>
    <row r="4" spans="1:37" ht="13.5" customHeight="1" x14ac:dyDescent="0.25">
      <c r="A4" s="184" t="s">
        <v>12</v>
      </c>
      <c r="B4" s="185"/>
      <c r="C4" s="185"/>
      <c r="D4" s="185">
        <v>0.35799999999999998</v>
      </c>
      <c r="E4" s="185">
        <v>1.37</v>
      </c>
      <c r="F4" s="185">
        <v>131.32</v>
      </c>
      <c r="G4" s="185">
        <v>601.99</v>
      </c>
      <c r="H4" s="189">
        <v>17.82</v>
      </c>
      <c r="I4" s="189">
        <v>151.91</v>
      </c>
      <c r="J4" s="185"/>
      <c r="K4" s="185"/>
      <c r="L4" s="185"/>
      <c r="M4" s="185"/>
      <c r="N4" s="185">
        <v>8.4499999999999993</v>
      </c>
      <c r="O4" s="185">
        <v>5.0199999999999996</v>
      </c>
      <c r="P4" s="185"/>
      <c r="Q4" s="185"/>
      <c r="R4" s="185"/>
      <c r="S4" s="185"/>
      <c r="T4" s="185"/>
      <c r="U4" s="185"/>
      <c r="V4" s="185">
        <v>6.63</v>
      </c>
      <c r="W4" s="185">
        <v>2.88</v>
      </c>
      <c r="X4" s="185"/>
      <c r="Y4" s="185"/>
      <c r="Z4" s="185"/>
      <c r="AA4" s="185"/>
      <c r="AB4" s="185"/>
      <c r="AC4" s="185"/>
      <c r="AD4" s="185"/>
      <c r="AE4" s="185"/>
      <c r="AF4" s="185">
        <v>4.7699999999999996</v>
      </c>
      <c r="AG4" s="185">
        <v>12.64</v>
      </c>
      <c r="AH4" s="185">
        <v>0.01</v>
      </c>
      <c r="AI4" s="185">
        <v>0.01</v>
      </c>
      <c r="AJ4" s="211">
        <f t="shared" ref="AJ4:AJ33" si="0">B4+D4+F4+H4+J4+L4+N4+P4+R4+T4+V4+X4+Z4+AB4+AD4+AF4+AH4</f>
        <v>169.35799999999998</v>
      </c>
      <c r="AK4" s="211">
        <f t="shared" ref="AK4:AK33" si="1">C4+E4+G4+I4+K4+M4+O4+Q4+S4+U4+W4+Y4+AA4+AC4+AE4+AG4+AI4</f>
        <v>775.81999999999994</v>
      </c>
    </row>
    <row r="5" spans="1:37" ht="13.5" customHeight="1" x14ac:dyDescent="0.25">
      <c r="A5" s="187" t="s">
        <v>13</v>
      </c>
      <c r="B5" s="185"/>
      <c r="C5" s="185"/>
      <c r="D5" s="185">
        <v>7</v>
      </c>
      <c r="E5" s="185">
        <v>57</v>
      </c>
      <c r="F5" s="185">
        <v>2.5</v>
      </c>
      <c r="G5" s="185">
        <v>4.4000000000000004</v>
      </c>
      <c r="H5" s="185">
        <v>0.64</v>
      </c>
      <c r="I5" s="185">
        <v>2.86</v>
      </c>
      <c r="J5" s="185">
        <v>0.03</v>
      </c>
      <c r="K5" s="185">
        <v>0.01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211">
        <f t="shared" si="0"/>
        <v>10.17</v>
      </c>
      <c r="AK5" s="211">
        <f t="shared" si="1"/>
        <v>64.27000000000001</v>
      </c>
    </row>
    <row r="6" spans="1:37" ht="13.5" customHeight="1" x14ac:dyDescent="0.25">
      <c r="A6" s="184" t="s">
        <v>14</v>
      </c>
      <c r="B6" s="185">
        <v>3.52</v>
      </c>
      <c r="C6" s="185">
        <v>2.0099999999999998</v>
      </c>
      <c r="D6" s="185">
        <v>15.683</v>
      </c>
      <c r="E6" s="185">
        <v>122.31</v>
      </c>
      <c r="F6" s="185">
        <v>18.920000000000002</v>
      </c>
      <c r="G6" s="185">
        <v>16.48</v>
      </c>
      <c r="H6" s="185">
        <v>16.309999999999999</v>
      </c>
      <c r="I6" s="185">
        <v>15.78</v>
      </c>
      <c r="J6" s="185">
        <v>10.08</v>
      </c>
      <c r="K6" s="185">
        <v>69.42</v>
      </c>
      <c r="L6" s="185"/>
      <c r="M6" s="185"/>
      <c r="N6" s="185">
        <v>28.57</v>
      </c>
      <c r="O6" s="185">
        <v>53.14</v>
      </c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211">
        <f t="shared" si="0"/>
        <v>93.082999999999998</v>
      </c>
      <c r="AK6" s="211">
        <f t="shared" si="1"/>
        <v>279.14</v>
      </c>
    </row>
    <row r="7" spans="1:37" ht="13.5" customHeight="1" x14ac:dyDescent="0.25">
      <c r="A7" s="184" t="s">
        <v>15</v>
      </c>
      <c r="B7" s="185"/>
      <c r="C7" s="185"/>
      <c r="D7" s="185">
        <v>0.56000000000000005</v>
      </c>
      <c r="E7" s="185">
        <v>0.84</v>
      </c>
      <c r="F7" s="185">
        <v>2.9</v>
      </c>
      <c r="G7" s="185">
        <v>3</v>
      </c>
      <c r="H7" s="185">
        <v>3</v>
      </c>
      <c r="I7" s="185">
        <v>3</v>
      </c>
      <c r="J7" s="185">
        <v>4.25</v>
      </c>
      <c r="K7" s="185">
        <v>4</v>
      </c>
      <c r="L7" s="185"/>
      <c r="M7" s="185"/>
      <c r="N7" s="185">
        <v>2.2999999999999998</v>
      </c>
      <c r="O7" s="185">
        <v>1.7</v>
      </c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9"/>
      <c r="AA7" s="185"/>
      <c r="AB7" s="185"/>
      <c r="AC7" s="185"/>
      <c r="AD7" s="185"/>
      <c r="AE7" s="185"/>
      <c r="AF7" s="185"/>
      <c r="AG7" s="185"/>
      <c r="AH7" s="185"/>
      <c r="AI7" s="185"/>
      <c r="AJ7" s="211">
        <f t="shared" si="0"/>
        <v>13.010000000000002</v>
      </c>
      <c r="AK7" s="211">
        <f t="shared" si="1"/>
        <v>12.54</v>
      </c>
    </row>
    <row r="8" spans="1:37" ht="13.5" customHeight="1" x14ac:dyDescent="0.25">
      <c r="A8" s="184" t="s">
        <v>55</v>
      </c>
      <c r="B8" s="185"/>
      <c r="C8" s="185"/>
      <c r="D8" s="185">
        <v>1.62</v>
      </c>
      <c r="E8" s="185">
        <v>1.78</v>
      </c>
      <c r="F8" s="185">
        <v>5.01</v>
      </c>
      <c r="G8" s="185">
        <v>1.65</v>
      </c>
      <c r="H8" s="185">
        <v>0.99</v>
      </c>
      <c r="I8" s="185">
        <v>0.84</v>
      </c>
      <c r="J8" s="185">
        <v>1.2</v>
      </c>
      <c r="K8" s="185">
        <v>3.2</v>
      </c>
      <c r="L8" s="185"/>
      <c r="M8" s="185"/>
      <c r="N8" s="185">
        <v>2.98</v>
      </c>
      <c r="O8" s="185">
        <v>0.83</v>
      </c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211">
        <f t="shared" si="0"/>
        <v>11.8</v>
      </c>
      <c r="AK8" s="211">
        <f t="shared" si="1"/>
        <v>8.2999999999999989</v>
      </c>
    </row>
    <row r="9" spans="1:37" ht="13.5" customHeight="1" x14ac:dyDescent="0.25">
      <c r="A9" s="184" t="s">
        <v>19</v>
      </c>
      <c r="B9" s="185">
        <v>0.74</v>
      </c>
      <c r="C9" s="185">
        <v>0.23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>
        <v>0.17</v>
      </c>
      <c r="AC9" s="185">
        <v>0.05</v>
      </c>
      <c r="AD9" s="185"/>
      <c r="AE9" s="185"/>
      <c r="AF9" s="185"/>
      <c r="AG9" s="185"/>
      <c r="AH9" s="185"/>
      <c r="AI9" s="185"/>
      <c r="AJ9" s="211">
        <f t="shared" si="0"/>
        <v>0.91</v>
      </c>
      <c r="AK9" s="211">
        <f t="shared" si="1"/>
        <v>0.28000000000000003</v>
      </c>
    </row>
    <row r="10" spans="1:37" ht="13.5" customHeight="1" x14ac:dyDescent="0.25">
      <c r="A10" s="184" t="s">
        <v>20</v>
      </c>
      <c r="B10" s="185"/>
      <c r="C10" s="185"/>
      <c r="D10" s="185">
        <v>4.3949999999999996</v>
      </c>
      <c r="E10" s="185">
        <v>70.650000000000006</v>
      </c>
      <c r="F10" s="185">
        <v>43.4</v>
      </c>
      <c r="G10" s="185">
        <v>68.53</v>
      </c>
      <c r="H10" s="185">
        <v>2.98</v>
      </c>
      <c r="I10" s="185">
        <v>50.49</v>
      </c>
      <c r="J10" s="185">
        <v>35</v>
      </c>
      <c r="K10" s="185">
        <v>250</v>
      </c>
      <c r="L10" s="185"/>
      <c r="M10" s="185"/>
      <c r="N10" s="185">
        <v>20.57</v>
      </c>
      <c r="O10" s="185">
        <v>32.31</v>
      </c>
      <c r="P10" s="185">
        <v>370</v>
      </c>
      <c r="Q10" s="185">
        <v>280</v>
      </c>
      <c r="R10" s="185">
        <v>38</v>
      </c>
      <c r="S10" s="185">
        <v>55</v>
      </c>
      <c r="T10" s="185">
        <v>5</v>
      </c>
      <c r="U10" s="185">
        <v>14</v>
      </c>
      <c r="V10" s="185">
        <v>5.87</v>
      </c>
      <c r="W10" s="185">
        <v>6.37</v>
      </c>
      <c r="X10" s="185">
        <v>16.600000000000001</v>
      </c>
      <c r="Y10" s="185">
        <v>21.13</v>
      </c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211">
        <f t="shared" si="0"/>
        <v>541.81500000000005</v>
      </c>
      <c r="AK10" s="211">
        <f t="shared" si="1"/>
        <v>848.48</v>
      </c>
    </row>
    <row r="11" spans="1:37" ht="13.5" customHeight="1" x14ac:dyDescent="0.25">
      <c r="A11" s="184" t="s">
        <v>21</v>
      </c>
      <c r="B11" s="185"/>
      <c r="C11" s="185"/>
      <c r="D11" s="185">
        <v>0.44500000000000001</v>
      </c>
      <c r="E11" s="185">
        <v>5.65</v>
      </c>
      <c r="F11" s="185">
        <v>2.4300000000000002</v>
      </c>
      <c r="G11" s="185">
        <v>4.22</v>
      </c>
      <c r="H11" s="185">
        <v>1.33</v>
      </c>
      <c r="I11" s="185">
        <v>23.84</v>
      </c>
      <c r="J11" s="185">
        <v>4.4400000000000004</v>
      </c>
      <c r="K11" s="185">
        <v>35.83</v>
      </c>
      <c r="L11" s="185"/>
      <c r="M11" s="185"/>
      <c r="N11" s="185">
        <v>2.4300000000000002</v>
      </c>
      <c r="O11" s="185">
        <v>4.41</v>
      </c>
      <c r="P11" s="185"/>
      <c r="Q11" s="185"/>
      <c r="R11" s="185">
        <v>0.27</v>
      </c>
      <c r="S11" s="185">
        <v>0.17</v>
      </c>
      <c r="T11" s="185">
        <v>4.78</v>
      </c>
      <c r="U11" s="185">
        <v>8.6999999999999993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211">
        <f t="shared" si="0"/>
        <v>16.125</v>
      </c>
      <c r="AK11" s="211">
        <f t="shared" si="1"/>
        <v>82.82</v>
      </c>
    </row>
    <row r="12" spans="1:37" ht="13.5" customHeight="1" x14ac:dyDescent="0.25">
      <c r="A12" s="184" t="s">
        <v>22</v>
      </c>
      <c r="B12" s="185"/>
      <c r="C12" s="185"/>
      <c r="D12" s="185">
        <v>3.23</v>
      </c>
      <c r="E12" s="185">
        <v>7.64</v>
      </c>
      <c r="F12" s="185">
        <v>0.63</v>
      </c>
      <c r="G12" s="185">
        <v>0.2</v>
      </c>
      <c r="H12" s="185">
        <v>0.2</v>
      </c>
      <c r="I12" s="185">
        <v>0.11</v>
      </c>
      <c r="J12" s="185">
        <v>4.1500000000000004</v>
      </c>
      <c r="K12" s="185">
        <v>6.14</v>
      </c>
      <c r="L12" s="185"/>
      <c r="M12" s="185"/>
      <c r="N12" s="185">
        <v>0.14000000000000001</v>
      </c>
      <c r="O12" s="185">
        <v>0.05</v>
      </c>
      <c r="P12" s="185">
        <v>0.08</v>
      </c>
      <c r="Q12" s="185">
        <v>0.02</v>
      </c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211">
        <f t="shared" si="0"/>
        <v>8.4300000000000015</v>
      </c>
      <c r="AK12" s="211">
        <f t="shared" si="1"/>
        <v>14.16</v>
      </c>
    </row>
    <row r="13" spans="1:37" ht="13.5" customHeight="1" x14ac:dyDescent="0.25">
      <c r="A13" s="184" t="s">
        <v>23</v>
      </c>
      <c r="B13" s="185"/>
      <c r="C13" s="185"/>
      <c r="D13" s="185">
        <v>3.4000000000000002E-2</v>
      </c>
      <c r="E13" s="185">
        <v>0.04</v>
      </c>
      <c r="F13" s="185">
        <v>0.56000000000000005</v>
      </c>
      <c r="G13" s="185">
        <v>0.54</v>
      </c>
      <c r="H13" s="185">
        <v>0.02</v>
      </c>
      <c r="I13" s="185">
        <v>0.02</v>
      </c>
      <c r="J13" s="185">
        <v>0.54</v>
      </c>
      <c r="K13" s="185">
        <v>0.46</v>
      </c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>
        <v>3.79</v>
      </c>
      <c r="AI13" s="185">
        <v>0.01</v>
      </c>
      <c r="AJ13" s="211">
        <f t="shared" si="0"/>
        <v>4.944</v>
      </c>
      <c r="AK13" s="211">
        <f t="shared" si="1"/>
        <v>1.07</v>
      </c>
    </row>
    <row r="14" spans="1:37" ht="13.5" customHeight="1" x14ac:dyDescent="0.25">
      <c r="A14" s="184" t="s">
        <v>24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211">
        <f t="shared" si="0"/>
        <v>0</v>
      </c>
      <c r="AK14" s="211">
        <f t="shared" si="1"/>
        <v>0</v>
      </c>
    </row>
    <row r="15" spans="1:37" ht="13.5" customHeight="1" x14ac:dyDescent="0.25">
      <c r="A15" s="184" t="s">
        <v>161</v>
      </c>
      <c r="B15" s="185">
        <v>28.28</v>
      </c>
      <c r="C15" s="185">
        <v>8.0299999999999994</v>
      </c>
      <c r="D15" s="185">
        <v>15.711</v>
      </c>
      <c r="E15" s="185">
        <v>50.05</v>
      </c>
      <c r="F15" s="185">
        <v>89.56</v>
      </c>
      <c r="G15" s="185">
        <v>111.55</v>
      </c>
      <c r="H15" s="185">
        <v>13.98</v>
      </c>
      <c r="I15" s="185">
        <v>65.41</v>
      </c>
      <c r="J15" s="185">
        <v>4.7300000000000004</v>
      </c>
      <c r="K15" s="185">
        <v>8.42</v>
      </c>
      <c r="L15" s="185">
        <v>18.68</v>
      </c>
      <c r="M15" s="185">
        <v>1.51</v>
      </c>
      <c r="N15" s="185">
        <v>1.22</v>
      </c>
      <c r="O15" s="185">
        <v>0.54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>
        <v>0.04</v>
      </c>
      <c r="AA15" s="185">
        <v>0.01</v>
      </c>
      <c r="AB15" s="185">
        <v>0.15</v>
      </c>
      <c r="AC15" s="185">
        <v>0.15</v>
      </c>
      <c r="AD15" s="185">
        <v>0.12</v>
      </c>
      <c r="AE15" s="185">
        <v>0.17</v>
      </c>
      <c r="AF15" s="185">
        <v>16.8</v>
      </c>
      <c r="AG15" s="185">
        <v>87</v>
      </c>
      <c r="AH15" s="185">
        <v>2.52</v>
      </c>
      <c r="AI15" s="185">
        <v>0.99</v>
      </c>
      <c r="AJ15" s="211">
        <f t="shared" si="0"/>
        <v>191.791</v>
      </c>
      <c r="AK15" s="211">
        <f t="shared" si="1"/>
        <v>333.82999999999993</v>
      </c>
    </row>
    <row r="16" spans="1:37" ht="13.5" customHeight="1" x14ac:dyDescent="0.25">
      <c r="A16" s="184" t="s">
        <v>26</v>
      </c>
      <c r="B16" s="185">
        <v>84.88</v>
      </c>
      <c r="C16" s="185">
        <v>38.67</v>
      </c>
      <c r="D16" s="185">
        <v>4.4359999999999999</v>
      </c>
      <c r="E16" s="185">
        <v>21.25</v>
      </c>
      <c r="F16" s="185">
        <v>1.34</v>
      </c>
      <c r="G16" s="185">
        <v>1.29</v>
      </c>
      <c r="H16" s="185">
        <v>2.63</v>
      </c>
      <c r="I16" s="185">
        <v>6.9</v>
      </c>
      <c r="J16" s="185">
        <v>7.0000000000000007E-2</v>
      </c>
      <c r="K16" s="185">
        <v>0.4</v>
      </c>
      <c r="L16" s="185">
        <v>39.729999999999997</v>
      </c>
      <c r="M16" s="185">
        <v>12.91</v>
      </c>
      <c r="N16" s="189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>
        <v>0.14000000000000001</v>
      </c>
      <c r="AA16" s="185">
        <v>0</v>
      </c>
      <c r="AB16" s="185">
        <v>18.46</v>
      </c>
      <c r="AC16" s="185">
        <v>12.53</v>
      </c>
      <c r="AD16" s="185">
        <v>0.91</v>
      </c>
      <c r="AE16" s="185">
        <v>7.0000000000000007E-2</v>
      </c>
      <c r="AF16" s="185">
        <v>14</v>
      </c>
      <c r="AG16" s="185">
        <v>20</v>
      </c>
      <c r="AH16" s="185">
        <v>0.36</v>
      </c>
      <c r="AI16" s="185">
        <v>0.04</v>
      </c>
      <c r="AJ16" s="211">
        <f t="shared" si="0"/>
        <v>166.95599999999999</v>
      </c>
      <c r="AK16" s="211">
        <f t="shared" si="1"/>
        <v>114.06</v>
      </c>
    </row>
    <row r="17" spans="1:37" ht="13.5" customHeight="1" x14ac:dyDescent="0.25">
      <c r="A17" s="184" t="s">
        <v>27</v>
      </c>
      <c r="B17" s="185"/>
      <c r="C17" s="185"/>
      <c r="D17" s="185">
        <v>9</v>
      </c>
      <c r="E17" s="185">
        <v>15</v>
      </c>
      <c r="F17" s="185">
        <v>54.41</v>
      </c>
      <c r="G17" s="185">
        <v>93.57</v>
      </c>
      <c r="H17" s="185">
        <v>1.5</v>
      </c>
      <c r="I17" s="185">
        <v>0.6</v>
      </c>
      <c r="J17" s="185">
        <v>60</v>
      </c>
      <c r="K17" s="185">
        <v>270</v>
      </c>
      <c r="L17" s="185"/>
      <c r="M17" s="185"/>
      <c r="N17" s="185">
        <v>160</v>
      </c>
      <c r="O17" s="185">
        <v>75</v>
      </c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211">
        <f t="shared" si="0"/>
        <v>284.90999999999997</v>
      </c>
      <c r="AK17" s="211">
        <f t="shared" si="1"/>
        <v>454.16999999999996</v>
      </c>
    </row>
    <row r="18" spans="1:37" ht="13.5" customHeight="1" x14ac:dyDescent="0.25">
      <c r="A18" s="184" t="s">
        <v>28</v>
      </c>
      <c r="B18" s="185"/>
      <c r="C18" s="185"/>
      <c r="D18" s="190">
        <v>1.06</v>
      </c>
      <c r="E18" s="185">
        <v>1.04</v>
      </c>
      <c r="F18" s="185">
        <v>99.5</v>
      </c>
      <c r="G18" s="185">
        <v>45.6</v>
      </c>
      <c r="H18" s="185">
        <v>11</v>
      </c>
      <c r="I18" s="185">
        <v>11</v>
      </c>
      <c r="J18" s="185">
        <v>3.5</v>
      </c>
      <c r="K18" s="185">
        <v>40</v>
      </c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>
        <v>5.7</v>
      </c>
      <c r="AG18" s="185">
        <v>11.4</v>
      </c>
      <c r="AH18" s="185"/>
      <c r="AI18" s="185"/>
      <c r="AJ18" s="211">
        <f t="shared" si="0"/>
        <v>120.76</v>
      </c>
      <c r="AK18" s="211">
        <f t="shared" si="1"/>
        <v>109.04</v>
      </c>
    </row>
    <row r="19" spans="1:37" ht="13.5" customHeight="1" x14ac:dyDescent="0.25">
      <c r="A19" s="188" t="s">
        <v>29</v>
      </c>
      <c r="B19" s="185"/>
      <c r="C19" s="185"/>
      <c r="D19" s="185">
        <v>2.4</v>
      </c>
      <c r="E19" s="185">
        <v>3.84</v>
      </c>
      <c r="F19" s="185">
        <v>6.5</v>
      </c>
      <c r="G19" s="185">
        <v>3.9</v>
      </c>
      <c r="H19" s="185">
        <v>1.4</v>
      </c>
      <c r="I19" s="185">
        <v>16.399999999999999</v>
      </c>
      <c r="J19" s="185">
        <v>0.17</v>
      </c>
      <c r="K19" s="185">
        <v>0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211">
        <f t="shared" si="0"/>
        <v>10.47</v>
      </c>
      <c r="AK19" s="211">
        <f t="shared" si="1"/>
        <v>24.14</v>
      </c>
    </row>
    <row r="20" spans="1:37" ht="13.5" customHeight="1" x14ac:dyDescent="0.25">
      <c r="A20" s="184" t="s">
        <v>30</v>
      </c>
      <c r="B20" s="185">
        <v>0.95</v>
      </c>
      <c r="C20" s="185">
        <v>0.64</v>
      </c>
      <c r="D20" s="185">
        <v>9.6419999999999995</v>
      </c>
      <c r="E20" s="185">
        <v>62.99</v>
      </c>
      <c r="F20" s="185">
        <v>2.0099999999999998</v>
      </c>
      <c r="G20" s="185">
        <v>1.56</v>
      </c>
      <c r="H20" s="185">
        <v>2.17</v>
      </c>
      <c r="I20" s="185">
        <v>12.53</v>
      </c>
      <c r="J20" s="185">
        <v>0.28000000000000003</v>
      </c>
      <c r="K20" s="185">
        <v>1.1100000000000001</v>
      </c>
      <c r="L20" s="185"/>
      <c r="M20" s="185"/>
      <c r="N20" s="185">
        <v>0.01</v>
      </c>
      <c r="O20" s="185">
        <v>0.05</v>
      </c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>
        <v>2.44</v>
      </c>
      <c r="AA20" s="185">
        <v>5</v>
      </c>
      <c r="AB20" s="185"/>
      <c r="AC20" s="185"/>
      <c r="AD20" s="185"/>
      <c r="AE20" s="185"/>
      <c r="AF20" s="185"/>
      <c r="AG20" s="185"/>
      <c r="AH20" s="185"/>
      <c r="AI20" s="185"/>
      <c r="AJ20" s="211">
        <f t="shared" si="0"/>
        <v>17.501999999999999</v>
      </c>
      <c r="AK20" s="211">
        <f t="shared" si="1"/>
        <v>83.88</v>
      </c>
    </row>
    <row r="21" spans="1:37" ht="13.5" customHeight="1" x14ac:dyDescent="0.25">
      <c r="A21" s="184" t="s">
        <v>31</v>
      </c>
      <c r="B21" s="185">
        <v>7.0000000000000007E-2</v>
      </c>
      <c r="C21" s="185">
        <v>0.01</v>
      </c>
      <c r="D21" s="185">
        <v>7.28</v>
      </c>
      <c r="E21" s="185">
        <v>28.39</v>
      </c>
      <c r="F21" s="185">
        <v>9.02</v>
      </c>
      <c r="G21" s="185">
        <v>8.2100000000000009</v>
      </c>
      <c r="H21" s="185">
        <v>6.05</v>
      </c>
      <c r="I21" s="185">
        <v>22.99</v>
      </c>
      <c r="J21" s="185">
        <v>0.02</v>
      </c>
      <c r="K21" s="185">
        <v>0.01</v>
      </c>
      <c r="L21" s="185"/>
      <c r="M21" s="185"/>
      <c r="N21" s="185">
        <v>0.03</v>
      </c>
      <c r="O21" s="185">
        <v>0.01</v>
      </c>
      <c r="P21" s="185"/>
      <c r="Q21" s="185"/>
      <c r="R21" s="185"/>
      <c r="S21" s="185"/>
      <c r="T21" s="185"/>
      <c r="U21" s="185"/>
      <c r="V21" s="185"/>
      <c r="W21" s="185"/>
      <c r="X21" s="185">
        <v>0</v>
      </c>
      <c r="Y21" s="185">
        <v>0</v>
      </c>
      <c r="Z21" s="185">
        <v>0</v>
      </c>
      <c r="AA21" s="185">
        <v>0</v>
      </c>
      <c r="AB21" s="185"/>
      <c r="AC21" s="185"/>
      <c r="AD21" s="185"/>
      <c r="AE21" s="185"/>
      <c r="AF21" s="185"/>
      <c r="AG21" s="185"/>
      <c r="AH21" s="185"/>
      <c r="AI21" s="185"/>
      <c r="AJ21" s="211">
        <f t="shared" si="0"/>
        <v>22.470000000000002</v>
      </c>
      <c r="AK21" s="211">
        <f t="shared" si="1"/>
        <v>59.61999999999999</v>
      </c>
    </row>
    <row r="22" spans="1:37" ht="13.5" customHeight="1" x14ac:dyDescent="0.25">
      <c r="A22" s="187" t="s">
        <v>32</v>
      </c>
      <c r="B22" s="185">
        <v>0.23</v>
      </c>
      <c r="C22" s="185">
        <v>0.01</v>
      </c>
      <c r="D22" s="185">
        <v>5.32</v>
      </c>
      <c r="E22" s="185">
        <v>36</v>
      </c>
      <c r="F22" s="185">
        <v>0.8</v>
      </c>
      <c r="G22" s="185">
        <v>1</v>
      </c>
      <c r="H22" s="185">
        <v>0.12</v>
      </c>
      <c r="I22" s="185">
        <v>0.5</v>
      </c>
      <c r="J22" s="185">
        <v>0.1</v>
      </c>
      <c r="K22" s="185">
        <v>0.15</v>
      </c>
      <c r="L22" s="185">
        <v>3.2</v>
      </c>
      <c r="M22" s="185">
        <v>1.5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211">
        <f t="shared" si="0"/>
        <v>9.77</v>
      </c>
      <c r="AK22" s="211">
        <f t="shared" si="1"/>
        <v>39.159999999999997</v>
      </c>
    </row>
    <row r="23" spans="1:37" ht="13.5" customHeight="1" x14ac:dyDescent="0.25">
      <c r="A23" s="184" t="s">
        <v>189</v>
      </c>
      <c r="B23" s="185"/>
      <c r="C23" s="185"/>
      <c r="D23" s="185">
        <v>15.843999999999999</v>
      </c>
      <c r="E23" s="185">
        <v>35</v>
      </c>
      <c r="F23" s="185">
        <v>75</v>
      </c>
      <c r="G23" s="185">
        <v>70</v>
      </c>
      <c r="H23" s="185">
        <v>2.48</v>
      </c>
      <c r="I23" s="185">
        <v>30</v>
      </c>
      <c r="J23" s="185">
        <v>10.9</v>
      </c>
      <c r="K23" s="185">
        <v>35.5</v>
      </c>
      <c r="L23" s="185"/>
      <c r="M23" s="185"/>
      <c r="N23" s="185">
        <v>19.100000000000001</v>
      </c>
      <c r="O23" s="185">
        <v>11</v>
      </c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211">
        <f t="shared" si="0"/>
        <v>123.32400000000001</v>
      </c>
      <c r="AK23" s="211">
        <f t="shared" si="1"/>
        <v>181.5</v>
      </c>
    </row>
    <row r="24" spans="1:37" ht="13.5" customHeight="1" x14ac:dyDescent="0.25">
      <c r="A24" s="187" t="s">
        <v>167</v>
      </c>
      <c r="B24" s="185">
        <v>0.01</v>
      </c>
      <c r="C24" s="185">
        <v>0.01</v>
      </c>
      <c r="D24" s="185"/>
      <c r="E24" s="185"/>
      <c r="F24" s="185">
        <v>0.01</v>
      </c>
      <c r="G24" s="185">
        <v>0.01</v>
      </c>
      <c r="H24" s="185">
        <v>0.01</v>
      </c>
      <c r="I24" s="185">
        <v>0.01</v>
      </c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>
        <v>0.06</v>
      </c>
      <c r="AG24" s="185">
        <v>0.35</v>
      </c>
      <c r="AH24" s="185"/>
      <c r="AI24" s="185"/>
      <c r="AJ24" s="211">
        <f t="shared" si="0"/>
        <v>0.09</v>
      </c>
      <c r="AK24" s="211">
        <f t="shared" si="1"/>
        <v>0.38</v>
      </c>
    </row>
    <row r="25" spans="1:37" ht="13.5" customHeight="1" x14ac:dyDescent="0.25">
      <c r="A25" s="184" t="s">
        <v>33</v>
      </c>
      <c r="B25" s="185"/>
      <c r="C25" s="185"/>
      <c r="D25" s="185"/>
      <c r="E25" s="185"/>
      <c r="F25" s="185">
        <v>10.6</v>
      </c>
      <c r="G25" s="185">
        <v>17.7</v>
      </c>
      <c r="H25" s="185">
        <v>0.76</v>
      </c>
      <c r="I25" s="185">
        <v>2.71</v>
      </c>
      <c r="J25" s="185">
        <v>3.7</v>
      </c>
      <c r="K25" s="185">
        <v>45</v>
      </c>
      <c r="L25" s="185"/>
      <c r="M25" s="185"/>
      <c r="N25" s="185"/>
      <c r="O25" s="185"/>
      <c r="P25" s="185"/>
      <c r="Q25" s="185"/>
      <c r="R25" s="189"/>
      <c r="S25" s="189"/>
      <c r="T25" s="185"/>
      <c r="U25" s="185"/>
      <c r="V25" s="185"/>
      <c r="W25" s="185"/>
      <c r="X25" s="185">
        <v>4.07</v>
      </c>
      <c r="Y25" s="185">
        <v>5.51</v>
      </c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211">
        <f t="shared" si="0"/>
        <v>19.13</v>
      </c>
      <c r="AK25" s="211">
        <f t="shared" si="1"/>
        <v>70.92</v>
      </c>
    </row>
    <row r="26" spans="1:37" ht="13.5" customHeight="1" x14ac:dyDescent="0.25">
      <c r="A26" s="184" t="s">
        <v>34</v>
      </c>
      <c r="B26" s="185"/>
      <c r="C26" s="185"/>
      <c r="D26" s="185">
        <v>0.122</v>
      </c>
      <c r="E26" s="185">
        <v>0.25</v>
      </c>
      <c r="F26" s="185">
        <v>6.72</v>
      </c>
      <c r="G26" s="185">
        <v>11.28</v>
      </c>
      <c r="H26" s="185">
        <v>0.14000000000000001</v>
      </c>
      <c r="I26" s="185">
        <v>0.39</v>
      </c>
      <c r="J26" s="185">
        <v>45.02</v>
      </c>
      <c r="K26" s="185">
        <v>218.42</v>
      </c>
      <c r="L26" s="185"/>
      <c r="M26" s="185"/>
      <c r="N26" s="185">
        <v>182.73</v>
      </c>
      <c r="O26" s="185">
        <v>117.08</v>
      </c>
      <c r="P26" s="185">
        <v>488.82</v>
      </c>
      <c r="Q26" s="185">
        <v>233.82</v>
      </c>
      <c r="R26" s="185">
        <v>15.16</v>
      </c>
      <c r="S26" s="185">
        <v>14.28</v>
      </c>
      <c r="T26" s="185">
        <v>55.38</v>
      </c>
      <c r="U26" s="185">
        <v>64.099999999999994</v>
      </c>
      <c r="V26" s="185">
        <v>12.62</v>
      </c>
      <c r="W26" s="185">
        <v>9.2200000000000006</v>
      </c>
      <c r="X26" s="185">
        <v>12.8</v>
      </c>
      <c r="Y26" s="185">
        <v>6</v>
      </c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211">
        <f t="shared" si="0"/>
        <v>819.51199999999994</v>
      </c>
      <c r="AK26" s="211">
        <f t="shared" si="1"/>
        <v>674.84</v>
      </c>
    </row>
    <row r="27" spans="1:37" ht="13.5" customHeight="1" x14ac:dyDescent="0.25">
      <c r="A27" s="184" t="s">
        <v>35</v>
      </c>
      <c r="B27" s="185"/>
      <c r="C27" s="185"/>
      <c r="D27" s="185">
        <v>9.3000000000000007</v>
      </c>
      <c r="E27" s="185">
        <v>52.11</v>
      </c>
      <c r="F27" s="185"/>
      <c r="G27" s="185"/>
      <c r="H27" s="185"/>
      <c r="I27" s="185"/>
      <c r="J27" s="185"/>
      <c r="K27" s="185"/>
      <c r="L27" s="185">
        <v>22.76</v>
      </c>
      <c r="M27" s="185">
        <v>3.69</v>
      </c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211">
        <f t="shared" si="0"/>
        <v>32.06</v>
      </c>
      <c r="AK27" s="211">
        <f t="shared" si="1"/>
        <v>55.8</v>
      </c>
    </row>
    <row r="28" spans="1:37" ht="13.5" customHeight="1" x14ac:dyDescent="0.25">
      <c r="A28" s="184" t="s">
        <v>36</v>
      </c>
      <c r="B28" s="185">
        <v>4.29</v>
      </c>
      <c r="C28" s="185">
        <v>0.98</v>
      </c>
      <c r="D28" s="185">
        <v>0.72699999999999998</v>
      </c>
      <c r="E28" s="185">
        <v>7.01</v>
      </c>
      <c r="F28" s="185">
        <v>50.67</v>
      </c>
      <c r="G28" s="185">
        <v>23.06</v>
      </c>
      <c r="H28" s="185">
        <v>76.98</v>
      </c>
      <c r="I28" s="185">
        <v>461.99</v>
      </c>
      <c r="J28" s="185">
        <v>0.45</v>
      </c>
      <c r="K28" s="185">
        <v>2.59</v>
      </c>
      <c r="L28" s="185">
        <v>5.16</v>
      </c>
      <c r="M28" s="185">
        <v>0.95</v>
      </c>
      <c r="N28" s="185">
        <v>9.59</v>
      </c>
      <c r="O28" s="185">
        <v>4.0999999999999996</v>
      </c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>
        <v>0.05</v>
      </c>
      <c r="AC28" s="185"/>
      <c r="AD28" s="185">
        <v>0.87</v>
      </c>
      <c r="AE28" s="185">
        <v>0.82</v>
      </c>
      <c r="AF28" s="185">
        <v>16.64</v>
      </c>
      <c r="AG28" s="185">
        <v>53</v>
      </c>
      <c r="AH28" s="185">
        <v>0.56999999999999995</v>
      </c>
      <c r="AI28" s="185">
        <v>0.02</v>
      </c>
      <c r="AJ28" s="211">
        <f t="shared" si="0"/>
        <v>165.99700000000001</v>
      </c>
      <c r="AK28" s="211">
        <f t="shared" si="1"/>
        <v>554.52</v>
      </c>
    </row>
    <row r="29" spans="1:37" ht="13.5" customHeight="1" x14ac:dyDescent="0.25">
      <c r="A29" s="184" t="s">
        <v>241</v>
      </c>
      <c r="B29" s="185"/>
      <c r="C29" s="185"/>
      <c r="D29" s="185">
        <v>1.7709999999999999</v>
      </c>
      <c r="E29" s="185">
        <v>12.73</v>
      </c>
      <c r="F29" s="185">
        <v>78.94</v>
      </c>
      <c r="G29" s="185">
        <v>279.77999999999997</v>
      </c>
      <c r="H29" s="185">
        <v>49.64</v>
      </c>
      <c r="I29" s="185">
        <v>252.06</v>
      </c>
      <c r="J29" s="185">
        <v>0.28000000000000003</v>
      </c>
      <c r="K29" s="185">
        <v>1.5</v>
      </c>
      <c r="L29" s="185"/>
      <c r="M29" s="185"/>
      <c r="N29" s="185">
        <v>1.38</v>
      </c>
      <c r="O29" s="185">
        <v>0.93</v>
      </c>
      <c r="P29" s="185"/>
      <c r="Q29" s="185"/>
      <c r="R29" s="185"/>
      <c r="S29" s="185"/>
      <c r="T29" s="185"/>
      <c r="U29" s="185"/>
      <c r="V29" s="185">
        <v>1.55</v>
      </c>
      <c r="W29" s="185">
        <v>0.73</v>
      </c>
      <c r="X29" s="185"/>
      <c r="Y29" s="185"/>
      <c r="Z29" s="185"/>
      <c r="AA29" s="185"/>
      <c r="AB29" s="185"/>
      <c r="AC29" s="185"/>
      <c r="AD29" s="185"/>
      <c r="AE29" s="185"/>
      <c r="AF29" s="185">
        <v>0.62</v>
      </c>
      <c r="AG29" s="185">
        <v>3.74</v>
      </c>
      <c r="AH29" s="185"/>
      <c r="AI29" s="185"/>
      <c r="AJ29" s="211">
        <f t="shared" si="0"/>
        <v>134.18100000000001</v>
      </c>
      <c r="AK29" s="211">
        <f t="shared" si="1"/>
        <v>551.46999999999991</v>
      </c>
    </row>
    <row r="30" spans="1:37" ht="13.5" customHeight="1" x14ac:dyDescent="0.25">
      <c r="A30" s="184" t="s">
        <v>37</v>
      </c>
      <c r="B30" s="185">
        <v>0.24</v>
      </c>
      <c r="C30" s="185">
        <v>0.15</v>
      </c>
      <c r="D30" s="185">
        <v>1.8</v>
      </c>
      <c r="E30" s="185">
        <v>7.6</v>
      </c>
      <c r="F30" s="185">
        <v>2.35</v>
      </c>
      <c r="G30" s="185">
        <v>3.7</v>
      </c>
      <c r="H30" s="185">
        <v>1.3</v>
      </c>
      <c r="I30" s="185">
        <v>6.59</v>
      </c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211">
        <f t="shared" si="0"/>
        <v>5.69</v>
      </c>
      <c r="AK30" s="211">
        <f t="shared" si="1"/>
        <v>18.04</v>
      </c>
    </row>
    <row r="31" spans="1:37" ht="13.5" customHeight="1" x14ac:dyDescent="0.25">
      <c r="A31" s="184" t="s">
        <v>38</v>
      </c>
      <c r="B31" s="185"/>
      <c r="C31" s="185"/>
      <c r="D31" s="185">
        <v>0.81299999999999994</v>
      </c>
      <c r="E31" s="185">
        <v>4.17</v>
      </c>
      <c r="F31" s="185">
        <v>13.77</v>
      </c>
      <c r="G31" s="185">
        <v>11.11</v>
      </c>
      <c r="H31" s="185">
        <v>2</v>
      </c>
      <c r="I31" s="185">
        <v>6</v>
      </c>
      <c r="J31" s="185">
        <v>37.24</v>
      </c>
      <c r="K31" s="185">
        <v>218.18</v>
      </c>
      <c r="L31" s="185"/>
      <c r="M31" s="185"/>
      <c r="N31" s="185">
        <v>6.73</v>
      </c>
      <c r="O31" s="185">
        <v>3.68</v>
      </c>
      <c r="P31" s="185">
        <v>0</v>
      </c>
      <c r="Q31" s="185">
        <v>0.01</v>
      </c>
      <c r="R31" s="185">
        <v>0.73</v>
      </c>
      <c r="S31" s="185">
        <v>0.67</v>
      </c>
      <c r="T31" s="185">
        <v>0.38</v>
      </c>
      <c r="U31" s="185">
        <v>0.2</v>
      </c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211">
        <f t="shared" si="0"/>
        <v>61.662999999999997</v>
      </c>
      <c r="AK31" s="211">
        <f t="shared" si="1"/>
        <v>244.01999999999998</v>
      </c>
    </row>
    <row r="32" spans="1:37" ht="13.5" customHeight="1" x14ac:dyDescent="0.25">
      <c r="A32" s="184" t="s">
        <v>90</v>
      </c>
      <c r="B32" s="185"/>
      <c r="C32" s="185"/>
      <c r="D32" s="185">
        <v>2.355</v>
      </c>
      <c r="E32" s="185">
        <v>23.44</v>
      </c>
      <c r="F32" s="185">
        <v>2</v>
      </c>
      <c r="G32" s="185">
        <v>7.2</v>
      </c>
      <c r="H32" s="185">
        <v>1.34</v>
      </c>
      <c r="I32" s="185">
        <v>2.4900000000000002</v>
      </c>
      <c r="J32" s="185">
        <v>1.0900000000000001</v>
      </c>
      <c r="K32" s="185">
        <v>1.54</v>
      </c>
      <c r="L32" s="185"/>
      <c r="M32" s="185"/>
      <c r="N32" s="185">
        <v>0.9</v>
      </c>
      <c r="O32" s="185">
        <v>3.8</v>
      </c>
      <c r="P32" s="185"/>
      <c r="Q32" s="185"/>
      <c r="R32" s="185"/>
      <c r="S32" s="185"/>
      <c r="T32" s="185">
        <v>0.4</v>
      </c>
      <c r="U32" s="185">
        <v>2.61</v>
      </c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211">
        <f t="shared" si="0"/>
        <v>8.0850000000000009</v>
      </c>
      <c r="AK32" s="211">
        <f t="shared" si="1"/>
        <v>41.08</v>
      </c>
    </row>
    <row r="33" spans="1:37" ht="13.5" customHeight="1" x14ac:dyDescent="0.25">
      <c r="A33" s="184" t="s">
        <v>40</v>
      </c>
      <c r="B33" s="185"/>
      <c r="C33" s="185"/>
      <c r="D33" s="185">
        <v>11.5</v>
      </c>
      <c r="E33" s="185">
        <v>25</v>
      </c>
      <c r="F33" s="185">
        <v>63.6</v>
      </c>
      <c r="G33" s="185">
        <v>100</v>
      </c>
      <c r="H33" s="185">
        <v>15.8</v>
      </c>
      <c r="I33" s="185">
        <v>42</v>
      </c>
      <c r="J33" s="185">
        <v>3.35</v>
      </c>
      <c r="K33" s="185">
        <v>40</v>
      </c>
      <c r="L33" s="185">
        <v>3.31</v>
      </c>
      <c r="M33" s="185">
        <v>0.72</v>
      </c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211">
        <f t="shared" si="0"/>
        <v>97.559999999999988</v>
      </c>
      <c r="AK33" s="211">
        <f t="shared" si="1"/>
        <v>207.72</v>
      </c>
    </row>
    <row r="34" spans="1:37" ht="13.5" customHeight="1" x14ac:dyDescent="0.2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211"/>
      <c r="AK34" s="211"/>
    </row>
    <row r="35" spans="1:37" ht="13.5" customHeight="1" x14ac:dyDescent="0.25">
      <c r="A35" s="184" t="s">
        <v>9</v>
      </c>
      <c r="B35" s="186">
        <f>SUM(B3:B34)</f>
        <v>123.81</v>
      </c>
      <c r="C35" s="186">
        <f t="shared" ref="C35:AK35" si="2">SUM(C3:C34)</f>
        <v>50.86999999999999</v>
      </c>
      <c r="D35" s="186">
        <f t="shared" si="2"/>
        <v>132.62100000000001</v>
      </c>
      <c r="E35" s="186">
        <f t="shared" si="2"/>
        <v>655.06000000000006</v>
      </c>
      <c r="F35" s="186">
        <f t="shared" si="2"/>
        <v>774.87000000000012</v>
      </c>
      <c r="G35" s="186">
        <f t="shared" si="2"/>
        <v>1492.1399999999999</v>
      </c>
      <c r="H35" s="186">
        <f t="shared" si="2"/>
        <v>232.67000000000004</v>
      </c>
      <c r="I35" s="186">
        <f t="shared" si="2"/>
        <v>1189.8899999999999</v>
      </c>
      <c r="J35" s="186">
        <f t="shared" si="2"/>
        <v>230.59</v>
      </c>
      <c r="K35" s="186">
        <f t="shared" si="2"/>
        <v>1251.8799999999999</v>
      </c>
      <c r="L35" s="186">
        <f t="shared" si="2"/>
        <v>92.84</v>
      </c>
      <c r="M35" s="186">
        <f t="shared" si="2"/>
        <v>21.279999999999998</v>
      </c>
      <c r="N35" s="186">
        <f t="shared" si="2"/>
        <v>447.12999999999994</v>
      </c>
      <c r="O35" s="186">
        <f t="shared" si="2"/>
        <v>313.65000000000003</v>
      </c>
      <c r="P35" s="186">
        <f t="shared" si="2"/>
        <v>858.9</v>
      </c>
      <c r="Q35" s="186">
        <f t="shared" si="2"/>
        <v>513.84999999999991</v>
      </c>
      <c r="R35" s="186">
        <f t="shared" si="2"/>
        <v>54.160000000000004</v>
      </c>
      <c r="S35" s="186">
        <f t="shared" si="2"/>
        <v>70.12</v>
      </c>
      <c r="T35" s="186">
        <f t="shared" si="2"/>
        <v>65.94</v>
      </c>
      <c r="U35" s="186">
        <f t="shared" si="2"/>
        <v>89.61</v>
      </c>
      <c r="V35" s="186">
        <f t="shared" si="2"/>
        <v>26.669999999999998</v>
      </c>
      <c r="W35" s="186">
        <f t="shared" si="2"/>
        <v>19.2</v>
      </c>
      <c r="X35" s="186">
        <f t="shared" si="2"/>
        <v>33.47</v>
      </c>
      <c r="Y35" s="186">
        <f t="shared" si="2"/>
        <v>32.64</v>
      </c>
      <c r="Z35" s="186">
        <f t="shared" si="2"/>
        <v>2.77</v>
      </c>
      <c r="AA35" s="186">
        <f t="shared" si="2"/>
        <v>5.05</v>
      </c>
      <c r="AB35" s="186">
        <f t="shared" si="2"/>
        <v>18.900000000000002</v>
      </c>
      <c r="AC35" s="186">
        <f t="shared" si="2"/>
        <v>12.78</v>
      </c>
      <c r="AD35" s="186">
        <f t="shared" si="2"/>
        <v>2.06</v>
      </c>
      <c r="AE35" s="186">
        <f t="shared" si="2"/>
        <v>1.0699999999999998</v>
      </c>
      <c r="AF35" s="186">
        <f t="shared" si="2"/>
        <v>58.59</v>
      </c>
      <c r="AG35" s="186">
        <f t="shared" si="2"/>
        <v>188.13</v>
      </c>
      <c r="AH35" s="186">
        <f t="shared" si="2"/>
        <v>7.2500000000000009</v>
      </c>
      <c r="AI35" s="186">
        <f t="shared" si="2"/>
        <v>1.07</v>
      </c>
      <c r="AJ35" s="186">
        <f t="shared" si="2"/>
        <v>3163.241</v>
      </c>
      <c r="AK35" s="186">
        <f t="shared" si="2"/>
        <v>5908.29</v>
      </c>
    </row>
    <row r="36" spans="1:37" ht="13.5" customHeight="1" x14ac:dyDescent="0.25">
      <c r="A36" s="236" t="s">
        <v>303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</row>
    <row r="37" spans="1:37" x14ac:dyDescent="0.25">
      <c r="A37" s="236" t="s">
        <v>209</v>
      </c>
    </row>
  </sheetData>
  <mergeCells count="18">
    <mergeCell ref="AH1:AI1"/>
    <mergeCell ref="AJ1:AK1"/>
    <mergeCell ref="Z1:AA1"/>
    <mergeCell ref="AB1:AC1"/>
    <mergeCell ref="AD1:AE1"/>
    <mergeCell ref="AF1:AG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0" type="noConversion"/>
  <pageMargins left="0.17" right="0.17" top="1" bottom="0.3" header="0.23" footer="0.16"/>
  <pageSetup paperSize="9" orientation="landscape" verticalDpi="300" r:id="rId1"/>
  <headerFooter alignWithMargins="0">
    <oddHeader xml:space="preserve">&amp;C&amp;"-,Bold"&amp;14Area and Production of Spices  2013-14 (Final) &amp;R&amp;"-,Bold"&amp;9Area in '000 Ha 
Production in'000  MT </oddHeader>
  </headerFooter>
  <colBreaks count="2" manualBreakCount="2">
    <brk id="13" max="1048575" man="1"/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J44" sqref="AJ44"/>
    </sheetView>
  </sheetViews>
  <sheetFormatPr defaultColWidth="10" defaultRowHeight="24.75" customHeight="1" x14ac:dyDescent="0.25"/>
  <cols>
    <col min="1" max="1" width="20.5703125" style="182" customWidth="1"/>
    <col min="2" max="40" width="8.7109375" style="182" customWidth="1"/>
    <col min="41" max="122" width="10" style="182" customWidth="1"/>
    <col min="123" max="16384" width="10" style="182"/>
  </cols>
  <sheetData>
    <row r="1" spans="1:40" ht="18" customHeight="1" x14ac:dyDescent="0.25">
      <c r="A1" s="181" t="s">
        <v>202</v>
      </c>
      <c r="B1" s="254" t="s">
        <v>168</v>
      </c>
      <c r="C1" s="271"/>
      <c r="D1" s="255"/>
      <c r="E1" s="254" t="s">
        <v>169</v>
      </c>
      <c r="F1" s="271"/>
      <c r="G1" s="255"/>
      <c r="H1" s="254" t="s">
        <v>170</v>
      </c>
      <c r="I1" s="271"/>
      <c r="J1" s="255"/>
      <c r="K1" s="254" t="s">
        <v>171</v>
      </c>
      <c r="L1" s="271"/>
      <c r="M1" s="255"/>
      <c r="N1" s="254" t="s">
        <v>226</v>
      </c>
      <c r="O1" s="271"/>
      <c r="P1" s="255"/>
      <c r="Q1" s="254" t="s">
        <v>172</v>
      </c>
      <c r="R1" s="271"/>
      <c r="S1" s="255"/>
      <c r="T1" s="254" t="s">
        <v>173</v>
      </c>
      <c r="U1" s="271"/>
      <c r="V1" s="255"/>
      <c r="W1" s="254" t="s">
        <v>174</v>
      </c>
      <c r="X1" s="271"/>
      <c r="Y1" s="255"/>
      <c r="Z1" s="254" t="s">
        <v>175</v>
      </c>
      <c r="AA1" s="271"/>
      <c r="AB1" s="255"/>
      <c r="AC1" s="254" t="s">
        <v>176</v>
      </c>
      <c r="AD1" s="271"/>
      <c r="AE1" s="255"/>
      <c r="AF1" s="254" t="s">
        <v>177</v>
      </c>
      <c r="AG1" s="271"/>
      <c r="AH1" s="255"/>
      <c r="AI1" s="254" t="s">
        <v>8</v>
      </c>
      <c r="AJ1" s="271"/>
      <c r="AK1" s="255"/>
      <c r="AL1" s="253" t="s">
        <v>178</v>
      </c>
      <c r="AM1" s="253"/>
      <c r="AN1" s="253"/>
    </row>
    <row r="2" spans="1:40" ht="16.5" customHeight="1" x14ac:dyDescent="0.25">
      <c r="A2" s="183"/>
      <c r="B2" s="181" t="s">
        <v>48</v>
      </c>
      <c r="C2" s="181" t="s">
        <v>10</v>
      </c>
      <c r="D2" s="181" t="s">
        <v>10</v>
      </c>
      <c r="E2" s="181" t="s">
        <v>48</v>
      </c>
      <c r="F2" s="181" t="s">
        <v>10</v>
      </c>
      <c r="G2" s="181" t="s">
        <v>10</v>
      </c>
      <c r="H2" s="181" t="s">
        <v>48</v>
      </c>
      <c r="I2" s="181" t="s">
        <v>10</v>
      </c>
      <c r="J2" s="181" t="s">
        <v>10</v>
      </c>
      <c r="K2" s="181" t="s">
        <v>48</v>
      </c>
      <c r="L2" s="181" t="s">
        <v>10</v>
      </c>
      <c r="M2" s="181" t="s">
        <v>10</v>
      </c>
      <c r="N2" s="181" t="s">
        <v>48</v>
      </c>
      <c r="O2" s="181" t="s">
        <v>10</v>
      </c>
      <c r="P2" s="181" t="s">
        <v>10</v>
      </c>
      <c r="Q2" s="181" t="s">
        <v>48</v>
      </c>
      <c r="R2" s="181" t="s">
        <v>10</v>
      </c>
      <c r="S2" s="181" t="s">
        <v>10</v>
      </c>
      <c r="T2" s="181" t="s">
        <v>48</v>
      </c>
      <c r="U2" s="181" t="s">
        <v>10</v>
      </c>
      <c r="V2" s="181" t="s">
        <v>10</v>
      </c>
      <c r="W2" s="181" t="s">
        <v>48</v>
      </c>
      <c r="X2" s="181" t="s">
        <v>10</v>
      </c>
      <c r="Y2" s="181" t="s">
        <v>10</v>
      </c>
      <c r="Z2" s="181" t="s">
        <v>48</v>
      </c>
      <c r="AA2" s="181" t="s">
        <v>10</v>
      </c>
      <c r="AB2" s="181" t="s">
        <v>10</v>
      </c>
      <c r="AC2" s="181" t="s">
        <v>48</v>
      </c>
      <c r="AD2" s="181" t="s">
        <v>10</v>
      </c>
      <c r="AE2" s="181" t="s">
        <v>10</v>
      </c>
      <c r="AF2" s="181" t="s">
        <v>48</v>
      </c>
      <c r="AG2" s="181" t="s">
        <v>10</v>
      </c>
      <c r="AH2" s="181" t="s">
        <v>10</v>
      </c>
      <c r="AI2" s="181" t="s">
        <v>48</v>
      </c>
      <c r="AJ2" s="181" t="s">
        <v>10</v>
      </c>
      <c r="AK2" s="181" t="s">
        <v>10</v>
      </c>
      <c r="AL2" s="181" t="s">
        <v>48</v>
      </c>
      <c r="AM2" s="253" t="s">
        <v>10</v>
      </c>
      <c r="AN2" s="253"/>
    </row>
    <row r="3" spans="1:40" ht="15" x14ac:dyDescent="0.25">
      <c r="A3" s="183"/>
      <c r="B3" s="181"/>
      <c r="C3" s="181" t="s">
        <v>179</v>
      </c>
      <c r="D3" s="181" t="s">
        <v>63</v>
      </c>
      <c r="E3" s="181"/>
      <c r="F3" s="181" t="s">
        <v>179</v>
      </c>
      <c r="G3" s="181" t="s">
        <v>63</v>
      </c>
      <c r="H3" s="181"/>
      <c r="I3" s="181" t="s">
        <v>179</v>
      </c>
      <c r="J3" s="181" t="s">
        <v>63</v>
      </c>
      <c r="K3" s="181"/>
      <c r="L3" s="181" t="s">
        <v>179</v>
      </c>
      <c r="M3" s="181" t="s">
        <v>63</v>
      </c>
      <c r="N3" s="181"/>
      <c r="O3" s="181" t="s">
        <v>179</v>
      </c>
      <c r="P3" s="181" t="s">
        <v>63</v>
      </c>
      <c r="Q3" s="181"/>
      <c r="R3" s="181" t="s">
        <v>179</v>
      </c>
      <c r="S3" s="181" t="s">
        <v>63</v>
      </c>
      <c r="T3" s="181"/>
      <c r="U3" s="181" t="s">
        <v>179</v>
      </c>
      <c r="V3" s="181" t="s">
        <v>63</v>
      </c>
      <c r="W3" s="181"/>
      <c r="X3" s="181" t="s">
        <v>179</v>
      </c>
      <c r="Y3" s="181" t="s">
        <v>63</v>
      </c>
      <c r="Z3" s="181"/>
      <c r="AA3" s="181" t="s">
        <v>179</v>
      </c>
      <c r="AB3" s="181" t="s">
        <v>63</v>
      </c>
      <c r="AC3" s="181"/>
      <c r="AD3" s="181" t="s">
        <v>179</v>
      </c>
      <c r="AE3" s="181" t="s">
        <v>63</v>
      </c>
      <c r="AF3" s="181"/>
      <c r="AG3" s="181" t="s">
        <v>179</v>
      </c>
      <c r="AH3" s="181" t="s">
        <v>63</v>
      </c>
      <c r="AI3" s="181"/>
      <c r="AJ3" s="181" t="s">
        <v>62</v>
      </c>
      <c r="AK3" s="181" t="s">
        <v>63</v>
      </c>
      <c r="AL3" s="212"/>
      <c r="AM3" s="181" t="s">
        <v>62</v>
      </c>
      <c r="AN3" s="181" t="s">
        <v>63</v>
      </c>
    </row>
    <row r="4" spans="1:40" ht="14.25" customHeight="1" x14ac:dyDescent="0.25">
      <c r="A4" s="184" t="s">
        <v>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>
        <v>0.01</v>
      </c>
      <c r="R4" s="185">
        <v>0.02</v>
      </c>
      <c r="S4" s="185"/>
      <c r="T4" s="185">
        <v>0.03</v>
      </c>
      <c r="U4" s="185">
        <v>0.09</v>
      </c>
      <c r="V4" s="185"/>
      <c r="W4" s="185"/>
      <c r="X4" s="185"/>
      <c r="Y4" s="185"/>
      <c r="Z4" s="185">
        <v>0.01</v>
      </c>
      <c r="AA4" s="185">
        <v>0.02</v>
      </c>
      <c r="AB4" s="185"/>
      <c r="AC4" s="185"/>
      <c r="AD4" s="185"/>
      <c r="AE4" s="185"/>
      <c r="AF4" s="185"/>
      <c r="AG4" s="185"/>
      <c r="AH4" s="185"/>
      <c r="AI4" s="185">
        <v>0.08</v>
      </c>
      <c r="AJ4" s="185">
        <v>0.16</v>
      </c>
      <c r="AK4" s="185"/>
      <c r="AL4" s="186">
        <f>B4+E4+H4+K4+N4+Q4+T4+W4+Z4+AC4+AF4+AI4</f>
        <v>0.13</v>
      </c>
      <c r="AM4" s="186">
        <f>C4+F4+I4+L4+O4+R4+U4+X4+AA4+AD4+AG4+AJ4</f>
        <v>0.29000000000000004</v>
      </c>
      <c r="AN4" s="186">
        <f>D4+G4+J4+M4+P4+S4+V4+Y4+AB4+AE4+AH4+AK4</f>
        <v>0</v>
      </c>
    </row>
    <row r="5" spans="1:40" ht="14.25" customHeight="1" x14ac:dyDescent="0.25">
      <c r="A5" s="184" t="s">
        <v>12</v>
      </c>
      <c r="B5" s="185"/>
      <c r="C5" s="185"/>
      <c r="D5" s="185"/>
      <c r="E5" s="185"/>
      <c r="F5" s="185"/>
      <c r="G5" s="185"/>
      <c r="H5" s="185">
        <v>6.1349999999999998</v>
      </c>
      <c r="I5" s="185">
        <v>70.552999999999997</v>
      </c>
      <c r="J5" s="185"/>
      <c r="K5" s="185"/>
      <c r="L5" s="185"/>
      <c r="M5" s="185"/>
      <c r="N5" s="185"/>
      <c r="O5" s="185"/>
      <c r="P5" s="185"/>
      <c r="Q5" s="185">
        <v>2.4350000000000001</v>
      </c>
      <c r="R5" s="185">
        <v>12.175000000000001</v>
      </c>
      <c r="S5" s="185"/>
      <c r="T5" s="185">
        <v>3.2850000000000001</v>
      </c>
      <c r="U5" s="185">
        <v>24.638000000000002</v>
      </c>
      <c r="V5" s="185"/>
      <c r="W5" s="185"/>
      <c r="X5" s="185"/>
      <c r="Y5" s="185"/>
      <c r="Z5" s="185">
        <v>1.3</v>
      </c>
      <c r="AA5" s="185"/>
      <c r="AB5" s="185">
        <v>30</v>
      </c>
      <c r="AC5" s="185">
        <v>2.3130000000000002</v>
      </c>
      <c r="AD5" s="185">
        <v>13.878</v>
      </c>
      <c r="AE5" s="185"/>
      <c r="AF5" s="185"/>
      <c r="AG5" s="185"/>
      <c r="AH5" s="185"/>
      <c r="AI5" s="185">
        <v>4.9050000000000002</v>
      </c>
      <c r="AJ5" s="185">
        <v>15.023</v>
      </c>
      <c r="AK5" s="185"/>
      <c r="AL5" s="186">
        <f t="shared" ref="AL5:AL38" si="0">B5+E5+H5+K5+N5+Q5+T5+W5+Z5+AC5+AF5+AI5</f>
        <v>20.373000000000001</v>
      </c>
      <c r="AM5" s="186">
        <f t="shared" ref="AM5:AM38" si="1">C5+F5+I5+L5+O5+R5+U5+X5+AA5+AD5+AG5+AJ5</f>
        <v>136.267</v>
      </c>
      <c r="AN5" s="186">
        <f t="shared" ref="AN5:AN38" si="2">D5+G5+J5+M5+P5+S5+V5+Y5+AB5+AE5+AH5+AK5</f>
        <v>30</v>
      </c>
    </row>
    <row r="6" spans="1:40" ht="14.25" customHeight="1" x14ac:dyDescent="0.25">
      <c r="A6" s="187" t="s">
        <v>211</v>
      </c>
      <c r="B6" s="185">
        <v>4.5999999999999999E-3</v>
      </c>
      <c r="C6" s="185"/>
      <c r="D6" s="185">
        <v>0.64444444444444449</v>
      </c>
      <c r="E6" s="185"/>
      <c r="F6" s="185"/>
      <c r="G6" s="185"/>
      <c r="H6" s="185"/>
      <c r="I6" s="185"/>
      <c r="J6" s="185"/>
      <c r="K6" s="185">
        <v>4.0000000000000001E-3</v>
      </c>
      <c r="L6" s="185"/>
      <c r="M6" s="185">
        <v>0.50285714285714289</v>
      </c>
      <c r="N6" s="185"/>
      <c r="O6" s="185"/>
      <c r="P6" s="185"/>
      <c r="Q6" s="185"/>
      <c r="R6" s="185"/>
      <c r="S6" s="185"/>
      <c r="T6" s="185">
        <v>0.01</v>
      </c>
      <c r="U6" s="185">
        <v>9.7999999999999997E-3</v>
      </c>
      <c r="V6" s="185"/>
      <c r="W6" s="185"/>
      <c r="X6" s="185"/>
      <c r="Y6" s="185"/>
      <c r="Z6" s="213">
        <v>4.4999999999999997E-3</v>
      </c>
      <c r="AA6" s="185"/>
      <c r="AB6" s="185">
        <v>0.7153846153846154</v>
      </c>
      <c r="AC6" s="185"/>
      <c r="AD6" s="185"/>
      <c r="AE6" s="185"/>
      <c r="AF6" s="185"/>
      <c r="AG6" s="185"/>
      <c r="AH6" s="185"/>
      <c r="AI6" s="185"/>
      <c r="AJ6" s="185"/>
      <c r="AK6" s="185"/>
      <c r="AL6" s="186">
        <f t="shared" si="0"/>
        <v>2.3099999999999999E-2</v>
      </c>
      <c r="AM6" s="186">
        <f t="shared" si="1"/>
        <v>9.7999999999999997E-3</v>
      </c>
      <c r="AN6" s="186">
        <f t="shared" si="2"/>
        <v>1.862686202686203</v>
      </c>
    </row>
    <row r="7" spans="1:40" ht="14.25" customHeight="1" x14ac:dyDescent="0.25">
      <c r="A7" s="184" t="s">
        <v>14</v>
      </c>
      <c r="B7" s="185">
        <v>0.06</v>
      </c>
      <c r="C7" s="185">
        <v>0.39600000000000002</v>
      </c>
      <c r="D7" s="185">
        <v>0.56666666666666665</v>
      </c>
      <c r="E7" s="185">
        <v>0.09</v>
      </c>
      <c r="F7" s="185">
        <v>0.59399999999999997</v>
      </c>
      <c r="G7" s="185">
        <v>0.72857142857142854</v>
      </c>
      <c r="H7" s="185">
        <v>0.12</v>
      </c>
      <c r="I7" s="185">
        <v>0.79200000000000004</v>
      </c>
      <c r="J7" s="185">
        <v>1.1333333333333333</v>
      </c>
      <c r="K7" s="185">
        <v>0.6</v>
      </c>
      <c r="L7" s="185">
        <v>3.96</v>
      </c>
      <c r="M7" s="185">
        <v>5.8285714285714283</v>
      </c>
      <c r="N7" s="185">
        <v>0.21</v>
      </c>
      <c r="O7" s="185">
        <v>1.3859999999999999</v>
      </c>
      <c r="P7" s="185">
        <v>4.4625000000000004</v>
      </c>
      <c r="Q7" s="185">
        <v>0.18</v>
      </c>
      <c r="R7" s="185">
        <v>1.1879999999999999</v>
      </c>
      <c r="S7" s="185">
        <v>1.7</v>
      </c>
      <c r="T7" s="185">
        <v>0.45</v>
      </c>
      <c r="U7" s="185">
        <v>2.97</v>
      </c>
      <c r="V7" s="185">
        <v>4.25</v>
      </c>
      <c r="W7" s="185">
        <v>0.36</v>
      </c>
      <c r="X7" s="185">
        <v>2.476</v>
      </c>
      <c r="Y7" s="185">
        <v>4.7076923076923078</v>
      </c>
      <c r="Z7" s="185">
        <v>0.3</v>
      </c>
      <c r="AA7" s="185">
        <v>1.98</v>
      </c>
      <c r="AB7" s="185">
        <v>3.9230769230769229</v>
      </c>
      <c r="AC7" s="185"/>
      <c r="AD7" s="185"/>
      <c r="AE7" s="185"/>
      <c r="AF7" s="185"/>
      <c r="AG7" s="185"/>
      <c r="AH7" s="185"/>
      <c r="AI7" s="185">
        <v>0.63</v>
      </c>
      <c r="AJ7" s="185">
        <v>4.258</v>
      </c>
      <c r="AK7" s="185">
        <v>5.3944444444444448</v>
      </c>
      <c r="AL7" s="186">
        <f t="shared" si="0"/>
        <v>2.9999999999999996</v>
      </c>
      <c r="AM7" s="186">
        <f t="shared" si="1"/>
        <v>20</v>
      </c>
      <c r="AN7" s="186">
        <f t="shared" si="2"/>
        <v>32.694856532356532</v>
      </c>
    </row>
    <row r="8" spans="1:40" ht="14.25" customHeight="1" x14ac:dyDescent="0.25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>
        <v>0.08</v>
      </c>
      <c r="O8" s="185"/>
      <c r="P8" s="185">
        <v>2.05375</v>
      </c>
      <c r="Q8" s="185">
        <v>0.113</v>
      </c>
      <c r="R8" s="185">
        <v>0.317</v>
      </c>
      <c r="S8" s="185"/>
      <c r="T8" s="185">
        <v>0.314</v>
      </c>
      <c r="U8" s="185">
        <v>5.6029999999999998</v>
      </c>
      <c r="V8" s="185"/>
      <c r="W8" s="185"/>
      <c r="X8" s="185"/>
      <c r="Y8" s="185"/>
      <c r="Z8" s="185">
        <v>7.2999999999999995E-2</v>
      </c>
      <c r="AA8" s="185">
        <v>9.8000000000000004E-2</v>
      </c>
      <c r="AB8" s="185">
        <v>0.6897692307692308</v>
      </c>
      <c r="AC8" s="185">
        <v>0.11</v>
      </c>
      <c r="AD8" s="185">
        <v>0.53500000000000003</v>
      </c>
      <c r="AE8" s="185"/>
      <c r="AF8" s="185"/>
      <c r="AG8" s="185"/>
      <c r="AH8" s="185"/>
      <c r="AI8" s="185">
        <v>0.13200000000000001</v>
      </c>
      <c r="AJ8" s="185">
        <v>1.08</v>
      </c>
      <c r="AK8" s="185"/>
      <c r="AL8" s="186">
        <f t="shared" si="0"/>
        <v>0.82199999999999995</v>
      </c>
      <c r="AM8" s="186">
        <f t="shared" si="1"/>
        <v>7.633</v>
      </c>
      <c r="AN8" s="186">
        <f t="shared" si="2"/>
        <v>2.7435192307692309</v>
      </c>
    </row>
    <row r="9" spans="1:40" ht="14.25" customHeight="1" x14ac:dyDescent="0.25">
      <c r="A9" s="184" t="s">
        <v>200</v>
      </c>
      <c r="B9" s="185"/>
      <c r="C9" s="185"/>
      <c r="D9" s="185"/>
      <c r="E9" s="185"/>
      <c r="F9" s="185"/>
      <c r="G9" s="185"/>
      <c r="H9" s="185">
        <v>0.28000000000000003</v>
      </c>
      <c r="I9" s="185">
        <v>1</v>
      </c>
      <c r="J9" s="185">
        <v>0</v>
      </c>
      <c r="K9" s="185"/>
      <c r="L9" s="185"/>
      <c r="M9" s="185"/>
      <c r="N9" s="185">
        <v>1.67</v>
      </c>
      <c r="O9" s="185">
        <v>5.77</v>
      </c>
      <c r="P9" s="185"/>
      <c r="Q9" s="185">
        <v>0.04</v>
      </c>
      <c r="R9" s="185">
        <v>0.09</v>
      </c>
      <c r="S9" s="185"/>
      <c r="T9" s="185">
        <v>3.66</v>
      </c>
      <c r="U9" s="185">
        <v>26.16</v>
      </c>
      <c r="V9" s="185"/>
      <c r="W9" s="185"/>
      <c r="X9" s="185"/>
      <c r="Y9" s="185"/>
      <c r="Z9" s="185">
        <v>0.96</v>
      </c>
      <c r="AA9" s="185">
        <v>2.57</v>
      </c>
      <c r="AB9" s="185"/>
      <c r="AC9" s="185">
        <v>1.41</v>
      </c>
      <c r="AD9" s="185">
        <v>5.54</v>
      </c>
      <c r="AE9" s="185"/>
      <c r="AF9" s="185"/>
      <c r="AG9" s="185"/>
      <c r="AH9" s="185"/>
      <c r="AI9" s="185">
        <f>0.16+1.95</f>
        <v>2.11</v>
      </c>
      <c r="AJ9" s="185">
        <f>0.87+3.73</f>
        <v>4.5999999999999996</v>
      </c>
      <c r="AK9" s="185"/>
      <c r="AL9" s="186">
        <f t="shared" si="0"/>
        <v>10.129999999999999</v>
      </c>
      <c r="AM9" s="186">
        <f t="shared" si="1"/>
        <v>45.73</v>
      </c>
      <c r="AN9" s="186">
        <f t="shared" si="2"/>
        <v>0</v>
      </c>
    </row>
    <row r="10" spans="1:40" ht="14.25" customHeight="1" x14ac:dyDescent="0.25">
      <c r="A10" s="184" t="s">
        <v>16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6">
        <f t="shared" si="0"/>
        <v>0</v>
      </c>
      <c r="AM10" s="186">
        <f t="shared" si="1"/>
        <v>0</v>
      </c>
      <c r="AN10" s="186">
        <f t="shared" si="2"/>
        <v>0</v>
      </c>
    </row>
    <row r="11" spans="1:40" ht="14.25" customHeight="1" x14ac:dyDescent="0.25">
      <c r="A11" s="184" t="s">
        <v>17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6">
        <f t="shared" si="0"/>
        <v>0</v>
      </c>
      <c r="AM11" s="186">
        <f t="shared" si="1"/>
        <v>0</v>
      </c>
      <c r="AN11" s="186">
        <f t="shared" si="2"/>
        <v>0</v>
      </c>
    </row>
    <row r="12" spans="1:40" ht="14.25" customHeight="1" x14ac:dyDescent="0.25">
      <c r="A12" s="184" t="s">
        <v>18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>
        <v>5.5</v>
      </c>
      <c r="AJ12" s="185">
        <v>5.7</v>
      </c>
      <c r="AK12" s="185">
        <v>5.7666666666666702</v>
      </c>
      <c r="AL12" s="186">
        <f t="shared" si="0"/>
        <v>5.5</v>
      </c>
      <c r="AM12" s="186">
        <f t="shared" si="1"/>
        <v>5.7</v>
      </c>
      <c r="AN12" s="186">
        <f t="shared" si="2"/>
        <v>5.7666666666666702</v>
      </c>
    </row>
    <row r="13" spans="1:40" ht="14.25" customHeight="1" x14ac:dyDescent="0.25">
      <c r="A13" s="184" t="s">
        <v>19</v>
      </c>
      <c r="B13" s="213">
        <v>2.0000000000000001E-4</v>
      </c>
      <c r="C13" s="185"/>
      <c r="D13" s="213">
        <v>3.3333333333333331E-3</v>
      </c>
      <c r="E13" s="185"/>
      <c r="F13" s="185"/>
      <c r="G13" s="185"/>
      <c r="H13" s="213">
        <v>2.0000000000000001E-4</v>
      </c>
      <c r="I13" s="185"/>
      <c r="J13" s="213">
        <v>2.7777777777777779E-3</v>
      </c>
      <c r="K13" s="213">
        <v>8.0000000000000004E-4</v>
      </c>
      <c r="L13" s="185"/>
      <c r="M13" s="185">
        <v>9.2000000000000012E-2</v>
      </c>
      <c r="N13" s="185"/>
      <c r="O13" s="185"/>
      <c r="P13" s="185"/>
      <c r="Q13" s="213">
        <v>1E-4</v>
      </c>
      <c r="R13" s="213">
        <v>3.0000000000000001E-3</v>
      </c>
      <c r="S13" s="185"/>
      <c r="T13" s="213">
        <v>3.0000000000000001E-3</v>
      </c>
      <c r="U13" s="185">
        <v>1.7000000000000001E-2</v>
      </c>
      <c r="V13" s="185"/>
      <c r="W13" s="213">
        <v>1E-4</v>
      </c>
      <c r="X13" s="185"/>
      <c r="Y13" s="213">
        <v>2.3076923076923075E-3</v>
      </c>
      <c r="Z13" s="185"/>
      <c r="AA13" s="185"/>
      <c r="AB13" s="185"/>
      <c r="AC13" s="213">
        <v>1E-4</v>
      </c>
      <c r="AD13" s="213">
        <v>1E-3</v>
      </c>
      <c r="AE13" s="185"/>
      <c r="AF13" s="185"/>
      <c r="AG13" s="185"/>
      <c r="AH13" s="185"/>
      <c r="AI13" s="213">
        <v>2E-3</v>
      </c>
      <c r="AJ13" s="213">
        <v>2E-3</v>
      </c>
      <c r="AK13" s="185"/>
      <c r="AL13" s="186">
        <f t="shared" si="0"/>
        <v>6.5000000000000006E-3</v>
      </c>
      <c r="AM13" s="186">
        <f t="shared" si="1"/>
        <v>2.3E-2</v>
      </c>
      <c r="AN13" s="186">
        <f t="shared" si="2"/>
        <v>0.10041880341880342</v>
      </c>
    </row>
    <row r="14" spans="1:40" ht="14.25" customHeight="1" x14ac:dyDescent="0.25">
      <c r="A14" s="184" t="s">
        <v>20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>
        <v>7.22</v>
      </c>
      <c r="U14" s="185">
        <v>68.930000000000007</v>
      </c>
      <c r="V14" s="185"/>
      <c r="W14" s="185"/>
      <c r="X14" s="185"/>
      <c r="Y14" s="185"/>
      <c r="Z14" s="185">
        <v>4.12</v>
      </c>
      <c r="AA14" s="185">
        <v>37.36</v>
      </c>
      <c r="AB14" s="185"/>
      <c r="AC14" s="185"/>
      <c r="AD14" s="185"/>
      <c r="AE14" s="185"/>
      <c r="AF14" s="185"/>
      <c r="AG14" s="185"/>
      <c r="AH14" s="185"/>
      <c r="AI14" s="185">
        <v>5.96</v>
      </c>
      <c r="AJ14" s="185">
        <v>57.31</v>
      </c>
      <c r="AK14" s="185"/>
      <c r="AL14" s="186">
        <f t="shared" si="0"/>
        <v>17.3</v>
      </c>
      <c r="AM14" s="186">
        <f t="shared" si="1"/>
        <v>163.60000000000002</v>
      </c>
      <c r="AN14" s="186">
        <f t="shared" si="2"/>
        <v>0</v>
      </c>
    </row>
    <row r="15" spans="1:40" ht="14.25" customHeight="1" x14ac:dyDescent="0.25">
      <c r="A15" s="184" t="s">
        <v>21</v>
      </c>
      <c r="B15" s="185"/>
      <c r="C15" s="185"/>
      <c r="D15" s="185"/>
      <c r="E15" s="185"/>
      <c r="F15" s="185"/>
      <c r="G15" s="185"/>
      <c r="H15" s="185">
        <v>0.06</v>
      </c>
      <c r="I15" s="185">
        <v>0.06</v>
      </c>
      <c r="J15" s="185">
        <v>0.65333333333333332</v>
      </c>
      <c r="K15" s="185">
        <v>0.01</v>
      </c>
      <c r="L15" s="185"/>
      <c r="M15" s="185">
        <v>2.8857142857142856E-2</v>
      </c>
      <c r="N15" s="185">
        <v>0.37</v>
      </c>
      <c r="O15" s="185"/>
      <c r="P15" s="185">
        <v>6.2562499999999996</v>
      </c>
      <c r="Q15" s="185"/>
      <c r="R15" s="185"/>
      <c r="S15" s="185"/>
      <c r="T15" s="185">
        <v>5.69</v>
      </c>
      <c r="U15" s="185">
        <v>64.62</v>
      </c>
      <c r="V15" s="185"/>
      <c r="W15" s="185"/>
      <c r="X15" s="185"/>
      <c r="Y15" s="185"/>
      <c r="Z15" s="185">
        <v>0.17</v>
      </c>
      <c r="AA15" s="185">
        <v>0.64</v>
      </c>
      <c r="AB15" s="185">
        <v>2.5830000000000002</v>
      </c>
      <c r="AC15" s="185">
        <v>0.1</v>
      </c>
      <c r="AD15" s="185"/>
      <c r="AE15" s="185">
        <v>0.76944444444444449</v>
      </c>
      <c r="AF15" s="185"/>
      <c r="AG15" s="185"/>
      <c r="AH15" s="185"/>
      <c r="AI15" s="185">
        <f>0.01+0.07</f>
        <v>0.08</v>
      </c>
      <c r="AJ15" s="185">
        <v>0.13</v>
      </c>
      <c r="AK15" s="185">
        <v>0.96433333333333338</v>
      </c>
      <c r="AL15" s="186">
        <f t="shared" si="0"/>
        <v>6.48</v>
      </c>
      <c r="AM15" s="186">
        <f t="shared" si="1"/>
        <v>65.45</v>
      </c>
      <c r="AN15" s="186">
        <f t="shared" si="2"/>
        <v>11.255218253968254</v>
      </c>
    </row>
    <row r="16" spans="1:40" ht="14.25" customHeight="1" x14ac:dyDescent="0.25">
      <c r="A16" s="184" t="s">
        <v>22</v>
      </c>
      <c r="B16" s="185"/>
      <c r="C16" s="185"/>
      <c r="D16" s="185"/>
      <c r="E16" s="185">
        <v>5.8999999999999997E-2</v>
      </c>
      <c r="F16" s="185"/>
      <c r="G16" s="185">
        <v>2.7460238095238094</v>
      </c>
      <c r="H16" s="185">
        <f>0.086+0.205</f>
        <v>0.29099999999999998</v>
      </c>
      <c r="I16" s="185">
        <v>8.218</v>
      </c>
      <c r="J16" s="185">
        <v>3.8017777777777781</v>
      </c>
      <c r="K16" s="185">
        <v>6.0000000000000001E-3</v>
      </c>
      <c r="L16" s="185"/>
      <c r="M16" s="185">
        <v>0.3908571428571429</v>
      </c>
      <c r="N16" s="185">
        <v>0.122</v>
      </c>
      <c r="O16" s="185"/>
      <c r="P16" s="185">
        <v>2.8953625000000001</v>
      </c>
      <c r="Q16" s="185"/>
      <c r="R16" s="185"/>
      <c r="S16" s="185"/>
      <c r="T16" s="185">
        <v>0.22600000000000001</v>
      </c>
      <c r="U16" s="185">
        <v>19.920999999999999</v>
      </c>
      <c r="V16" s="185"/>
      <c r="W16" s="185"/>
      <c r="X16" s="185"/>
      <c r="Y16" s="185"/>
      <c r="Z16" s="185">
        <v>3.5000000000000003E-2</v>
      </c>
      <c r="AA16" s="185"/>
      <c r="AB16" s="185">
        <v>1.9828461538461537</v>
      </c>
      <c r="AC16" s="185"/>
      <c r="AD16" s="185"/>
      <c r="AE16" s="185"/>
      <c r="AF16" s="185"/>
      <c r="AG16" s="185"/>
      <c r="AH16" s="185"/>
      <c r="AI16" s="185">
        <v>8.4000000000000005E-2</v>
      </c>
      <c r="AJ16" s="185">
        <v>2.9999999999999997E-4</v>
      </c>
      <c r="AK16" s="185">
        <v>0.54125000000000001</v>
      </c>
      <c r="AL16" s="186">
        <f t="shared" si="0"/>
        <v>0.82299999999999995</v>
      </c>
      <c r="AM16" s="186">
        <f t="shared" si="1"/>
        <v>28.139299999999999</v>
      </c>
      <c r="AN16" s="186">
        <f t="shared" si="2"/>
        <v>12.358117384004883</v>
      </c>
    </row>
    <row r="17" spans="1:40" ht="14.25" customHeight="1" x14ac:dyDescent="0.25">
      <c r="A17" s="184" t="s">
        <v>23</v>
      </c>
      <c r="B17" s="185"/>
      <c r="C17" s="185"/>
      <c r="D17" s="185"/>
      <c r="E17" s="185">
        <v>4.0000000000000001E-3</v>
      </c>
      <c r="F17" s="185"/>
      <c r="G17" s="185">
        <v>0.13945238095238097</v>
      </c>
      <c r="H17" s="185">
        <v>5.0000000000000001E-3</v>
      </c>
      <c r="I17" s="185">
        <v>4.6700000000000002E-4</v>
      </c>
      <c r="J17" s="185">
        <v>5.5555555555555552E-2</v>
      </c>
      <c r="K17" s="185">
        <f>0.00264+0.00005</f>
        <v>2.6900000000000001E-3</v>
      </c>
      <c r="L17" s="185"/>
      <c r="M17" s="185">
        <v>0.10158857142857142</v>
      </c>
      <c r="N17" s="185">
        <f>0.00465+0.031</f>
        <v>3.5650000000000001E-2</v>
      </c>
      <c r="O17" s="185"/>
      <c r="P17" s="185">
        <v>0.80812500000000009</v>
      </c>
      <c r="Q17" s="185"/>
      <c r="R17" s="185"/>
      <c r="S17" s="185"/>
      <c r="T17" s="185">
        <f>0.60778+0.016</f>
        <v>0.62378</v>
      </c>
      <c r="U17" s="185">
        <f>0.31+0.01458</f>
        <v>0.32457999999999998</v>
      </c>
      <c r="V17" s="185"/>
      <c r="W17" s="185"/>
      <c r="X17" s="185"/>
      <c r="Y17" s="185"/>
      <c r="Z17" s="185">
        <v>1.925E-2</v>
      </c>
      <c r="AA17" s="185">
        <v>1.67E-2</v>
      </c>
      <c r="AB17" s="185">
        <v>0.25692307692307692</v>
      </c>
      <c r="AC17" s="213">
        <f>0.0013+0.00005</f>
        <v>1.3499999999999999E-3</v>
      </c>
      <c r="AD17" s="185"/>
      <c r="AE17" s="185">
        <v>2.2950000000000002E-2</v>
      </c>
      <c r="AF17" s="185">
        <v>1.7999999999999999E-2</v>
      </c>
      <c r="AG17" s="185"/>
      <c r="AH17" s="185">
        <v>0.25055555555555559</v>
      </c>
      <c r="AI17" s="185">
        <f>0.006+0.002+0.011+0.003+0.022+0.001+0.00015</f>
        <v>4.5149999999999996E-2</v>
      </c>
      <c r="AJ17" s="185">
        <f>0.018+0.0605+0.00015</f>
        <v>7.8649999999999998E-2</v>
      </c>
      <c r="AK17" s="185">
        <v>0.1837</v>
      </c>
      <c r="AL17" s="186">
        <f t="shared" si="0"/>
        <v>0.75487000000000004</v>
      </c>
      <c r="AM17" s="186">
        <f t="shared" si="1"/>
        <v>0.42039699999999997</v>
      </c>
      <c r="AN17" s="186">
        <f t="shared" si="2"/>
        <v>1.8188501404151405</v>
      </c>
    </row>
    <row r="18" spans="1:40" ht="14.25" customHeight="1" x14ac:dyDescent="0.25">
      <c r="A18" s="184" t="s">
        <v>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>
        <v>1.6</v>
      </c>
      <c r="AJ18" s="185">
        <v>22.026</v>
      </c>
      <c r="AK18" s="185">
        <v>9.5055555555555564</v>
      </c>
      <c r="AL18" s="186">
        <f t="shared" si="0"/>
        <v>1.6</v>
      </c>
      <c r="AM18" s="186">
        <f t="shared" si="1"/>
        <v>22.026</v>
      </c>
      <c r="AN18" s="186">
        <f t="shared" si="2"/>
        <v>9.5055555555555564</v>
      </c>
    </row>
    <row r="19" spans="1:40" ht="14.25" customHeight="1" x14ac:dyDescent="0.25">
      <c r="A19" s="184" t="s">
        <v>25</v>
      </c>
      <c r="B19" s="185"/>
      <c r="C19" s="185"/>
      <c r="D19" s="185">
        <v>0.15555555555555556</v>
      </c>
      <c r="E19" s="185"/>
      <c r="F19" s="185"/>
      <c r="G19" s="185">
        <v>0.69142857142857139</v>
      </c>
      <c r="H19" s="185">
        <v>4.7</v>
      </c>
      <c r="I19" s="185">
        <v>61</v>
      </c>
      <c r="J19" s="185">
        <v>0</v>
      </c>
      <c r="K19" s="185"/>
      <c r="L19" s="185"/>
      <c r="M19" s="185">
        <v>0.58171428571428574</v>
      </c>
      <c r="N19" s="185">
        <v>0.2</v>
      </c>
      <c r="O19" s="185"/>
      <c r="P19" s="185">
        <v>6.3887499999999999</v>
      </c>
      <c r="Q19" s="185">
        <v>6.6</v>
      </c>
      <c r="R19" s="185">
        <v>43.6</v>
      </c>
      <c r="S19" s="185"/>
      <c r="T19" s="185">
        <v>9.1</v>
      </c>
      <c r="U19" s="185">
        <v>74.900000000000006</v>
      </c>
      <c r="V19" s="185"/>
      <c r="W19" s="185"/>
      <c r="X19" s="185"/>
      <c r="Y19" s="185">
        <v>4.0769230769230766E-2</v>
      </c>
      <c r="Z19" s="185">
        <v>2.7</v>
      </c>
      <c r="AA19" s="185"/>
      <c r="AB19" s="185">
        <v>50.56</v>
      </c>
      <c r="AC19" s="185">
        <v>2</v>
      </c>
      <c r="AD19" s="185"/>
      <c r="AE19" s="185">
        <v>13.109444444444444</v>
      </c>
      <c r="AF19" s="185"/>
      <c r="AG19" s="185"/>
      <c r="AH19" s="185"/>
      <c r="AI19" s="185">
        <v>5.3</v>
      </c>
      <c r="AJ19" s="185">
        <v>32</v>
      </c>
      <c r="AK19" s="185"/>
      <c r="AL19" s="186">
        <f t="shared" si="0"/>
        <v>30.6</v>
      </c>
      <c r="AM19" s="186">
        <f t="shared" si="1"/>
        <v>211.5</v>
      </c>
      <c r="AN19" s="186">
        <f t="shared" si="2"/>
        <v>71.527662087912091</v>
      </c>
    </row>
    <row r="20" spans="1:40" ht="14.25" customHeight="1" x14ac:dyDescent="0.25">
      <c r="A20" s="184" t="s">
        <v>26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6">
        <f t="shared" si="0"/>
        <v>0</v>
      </c>
      <c r="AM20" s="186">
        <f t="shared" si="1"/>
        <v>0</v>
      </c>
      <c r="AN20" s="186">
        <f t="shared" si="2"/>
        <v>0</v>
      </c>
    </row>
    <row r="21" spans="1:40" ht="14.25" customHeight="1" x14ac:dyDescent="0.25">
      <c r="A21" s="184" t="s">
        <v>56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6">
        <f t="shared" si="0"/>
        <v>0</v>
      </c>
      <c r="AM21" s="186">
        <f t="shared" si="1"/>
        <v>0</v>
      </c>
      <c r="AN21" s="186">
        <f t="shared" si="2"/>
        <v>0</v>
      </c>
    </row>
    <row r="22" spans="1:40" ht="14.25" customHeight="1" x14ac:dyDescent="0.25">
      <c r="A22" s="184" t="s">
        <v>27</v>
      </c>
      <c r="B22" s="185"/>
      <c r="C22" s="185"/>
      <c r="D22" s="185"/>
      <c r="E22" s="185"/>
      <c r="F22" s="185"/>
      <c r="G22" s="185"/>
      <c r="H22" s="185">
        <v>0.8</v>
      </c>
      <c r="I22" s="185">
        <v>10.496</v>
      </c>
      <c r="J22" s="185">
        <v>0</v>
      </c>
      <c r="K22" s="185"/>
      <c r="L22" s="185"/>
      <c r="M22" s="185"/>
      <c r="N22" s="185">
        <v>1.96</v>
      </c>
      <c r="O22" s="185">
        <v>38.003999999999998</v>
      </c>
      <c r="P22" s="185"/>
      <c r="Q22" s="185"/>
      <c r="R22" s="185"/>
      <c r="S22" s="185"/>
      <c r="T22" s="185">
        <v>7.7549999999999999</v>
      </c>
      <c r="U22" s="185">
        <v>85.072000000000003</v>
      </c>
      <c r="V22" s="185"/>
      <c r="W22" s="185"/>
      <c r="X22" s="185"/>
      <c r="Y22" s="185"/>
      <c r="Z22" s="185">
        <v>2.3809999999999998</v>
      </c>
      <c r="AA22" s="185">
        <v>13.262</v>
      </c>
      <c r="AB22" s="185"/>
      <c r="AC22" s="185">
        <v>0.26300000000000001</v>
      </c>
      <c r="AD22" s="185">
        <v>0.999</v>
      </c>
      <c r="AE22" s="185"/>
      <c r="AF22" s="185"/>
      <c r="AG22" s="185"/>
      <c r="AH22" s="185"/>
      <c r="AI22" s="185">
        <v>3.9049999999999998</v>
      </c>
      <c r="AJ22" s="185">
        <v>52.561</v>
      </c>
      <c r="AK22" s="185"/>
      <c r="AL22" s="186">
        <f t="shared" si="0"/>
        <v>17.064</v>
      </c>
      <c r="AM22" s="186">
        <f t="shared" si="1"/>
        <v>200.39400000000001</v>
      </c>
      <c r="AN22" s="186">
        <f t="shared" si="2"/>
        <v>0</v>
      </c>
    </row>
    <row r="23" spans="1:40" ht="14.25" customHeight="1" x14ac:dyDescent="0.25">
      <c r="A23" s="184" t="s">
        <v>28</v>
      </c>
      <c r="B23" s="185"/>
      <c r="C23" s="185"/>
      <c r="D23" s="185"/>
      <c r="E23" s="185"/>
      <c r="F23" s="185"/>
      <c r="G23" s="185"/>
      <c r="H23" s="185">
        <v>3</v>
      </c>
      <c r="I23" s="185">
        <v>13.05</v>
      </c>
      <c r="J23" s="185"/>
      <c r="K23" s="185"/>
      <c r="L23" s="185"/>
      <c r="M23" s="185"/>
      <c r="N23" s="185">
        <v>1</v>
      </c>
      <c r="O23" s="185">
        <v>5</v>
      </c>
      <c r="P23" s="185"/>
      <c r="Q23" s="185">
        <v>2</v>
      </c>
      <c r="R23" s="185">
        <v>3.5</v>
      </c>
      <c r="S23" s="185"/>
      <c r="T23" s="185">
        <v>8</v>
      </c>
      <c r="U23" s="185">
        <v>70</v>
      </c>
      <c r="V23" s="185"/>
      <c r="W23" s="185"/>
      <c r="X23" s="185"/>
      <c r="Y23" s="185"/>
      <c r="Z23" s="185">
        <v>6</v>
      </c>
      <c r="AA23" s="185">
        <v>15</v>
      </c>
      <c r="AB23" s="185"/>
      <c r="AC23" s="185">
        <v>1</v>
      </c>
      <c r="AD23" s="185">
        <v>6.1</v>
      </c>
      <c r="AE23" s="185"/>
      <c r="AF23" s="185"/>
      <c r="AG23" s="185"/>
      <c r="AH23" s="185"/>
      <c r="AI23" s="185">
        <v>2</v>
      </c>
      <c r="AJ23" s="185">
        <v>10</v>
      </c>
      <c r="AK23" s="185">
        <v>43.966666666666669</v>
      </c>
      <c r="AL23" s="186">
        <f t="shared" si="0"/>
        <v>23</v>
      </c>
      <c r="AM23" s="186">
        <f t="shared" si="1"/>
        <v>122.64999999999999</v>
      </c>
      <c r="AN23" s="186">
        <f t="shared" si="2"/>
        <v>43.966666666666669</v>
      </c>
    </row>
    <row r="24" spans="1:40" ht="14.25" customHeight="1" x14ac:dyDescent="0.25">
      <c r="A24" s="188" t="s">
        <v>29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>
        <v>0.76</v>
      </c>
      <c r="AJ24" s="185">
        <v>0.28199999999999997</v>
      </c>
      <c r="AK24" s="185">
        <v>9.7777777777777776E-3</v>
      </c>
      <c r="AL24" s="186">
        <f t="shared" si="0"/>
        <v>0.76</v>
      </c>
      <c r="AM24" s="186">
        <f t="shared" si="1"/>
        <v>0.28199999999999997</v>
      </c>
      <c r="AN24" s="186">
        <f t="shared" si="2"/>
        <v>9.7777777777777776E-3</v>
      </c>
    </row>
    <row r="25" spans="1:40" ht="14.25" customHeight="1" x14ac:dyDescent="0.25">
      <c r="A25" s="184" t="s">
        <v>30</v>
      </c>
      <c r="B25" s="185">
        <v>2.1000000000000001E-2</v>
      </c>
      <c r="C25" s="185"/>
      <c r="D25" s="185">
        <v>0.70277777777777772</v>
      </c>
      <c r="E25" s="185">
        <v>3.0000000000000001E-3</v>
      </c>
      <c r="F25" s="185"/>
      <c r="G25" s="185">
        <v>0.29619047619047623</v>
      </c>
      <c r="H25" s="185">
        <v>3.0000000000000001E-3</v>
      </c>
      <c r="I25" s="185"/>
      <c r="J25" s="185">
        <v>7.0833333333333331E-2</v>
      </c>
      <c r="K25" s="185">
        <v>1.2999999999999999E-2</v>
      </c>
      <c r="L25" s="185"/>
      <c r="M25" s="185">
        <v>0.83285714285714285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>
        <v>1.2E-2</v>
      </c>
      <c r="X25" s="185"/>
      <c r="Y25" s="185">
        <v>0.46884615384615386</v>
      </c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6">
        <f t="shared" si="0"/>
        <v>5.2000000000000005E-2</v>
      </c>
      <c r="AM25" s="186">
        <f t="shared" si="1"/>
        <v>0</v>
      </c>
      <c r="AN25" s="186">
        <f t="shared" si="2"/>
        <v>2.3715048840048838</v>
      </c>
    </row>
    <row r="26" spans="1:40" ht="14.25" customHeight="1" x14ac:dyDescent="0.25">
      <c r="A26" s="184" t="s">
        <v>31</v>
      </c>
      <c r="B26" s="185">
        <v>3.5999999999999997E-2</v>
      </c>
      <c r="C26" s="185"/>
      <c r="D26" s="185">
        <v>0.46344444444444444</v>
      </c>
      <c r="E26" s="185">
        <v>2.5000000000000001E-2</v>
      </c>
      <c r="F26" s="185"/>
      <c r="G26" s="185">
        <v>0.11</v>
      </c>
      <c r="H26" s="185"/>
      <c r="I26" s="185"/>
      <c r="J26" s="185"/>
      <c r="K26" s="185">
        <v>2.3E-2</v>
      </c>
      <c r="L26" s="185"/>
      <c r="M26" s="185">
        <v>0.18514285714285714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>
        <v>0.02</v>
      </c>
      <c r="X26" s="185"/>
      <c r="Y26" s="185">
        <v>6.076923076923077E-3</v>
      </c>
      <c r="Z26" s="185">
        <v>0.02</v>
      </c>
      <c r="AA26" s="185"/>
      <c r="AB26" s="185">
        <v>0.46230769230769231</v>
      </c>
      <c r="AC26" s="185"/>
      <c r="AD26" s="185"/>
      <c r="AE26" s="185"/>
      <c r="AF26" s="185"/>
      <c r="AG26" s="185"/>
      <c r="AH26" s="185"/>
      <c r="AI26" s="185">
        <f>0.071+0.003</f>
        <v>7.3999999999999996E-2</v>
      </c>
      <c r="AJ26" s="185">
        <f>0.1+171.47</f>
        <v>171.57</v>
      </c>
      <c r="AK26" s="185"/>
      <c r="AL26" s="186">
        <f t="shared" si="0"/>
        <v>0.19800000000000001</v>
      </c>
      <c r="AM26" s="186">
        <f t="shared" si="1"/>
        <v>171.57</v>
      </c>
      <c r="AN26" s="186">
        <f t="shared" si="2"/>
        <v>1.2269719169719169</v>
      </c>
    </row>
    <row r="27" spans="1:40" ht="14.25" customHeight="1" x14ac:dyDescent="0.25">
      <c r="A27" s="187" t="s">
        <v>32</v>
      </c>
      <c r="B27" s="213">
        <v>2.48E-3</v>
      </c>
      <c r="C27" s="185"/>
      <c r="D27" s="185">
        <v>1.3777777777777778E-2</v>
      </c>
      <c r="E27" s="185"/>
      <c r="F27" s="185"/>
      <c r="G27" s="185"/>
      <c r="H27" s="185"/>
      <c r="I27" s="185"/>
      <c r="J27" s="185"/>
      <c r="K27" s="185">
        <v>9.7999999999999997E-4</v>
      </c>
      <c r="L27" s="185"/>
      <c r="M27" s="185">
        <v>5.04E-2</v>
      </c>
      <c r="N27" s="185"/>
      <c r="O27" s="185"/>
      <c r="P27" s="185"/>
      <c r="Q27" s="185"/>
      <c r="R27" s="185"/>
      <c r="S27" s="185"/>
      <c r="T27" s="185"/>
      <c r="U27" s="185"/>
      <c r="V27" s="185"/>
      <c r="W27" s="213">
        <v>5.4000000000000001E-4</v>
      </c>
      <c r="X27" s="185"/>
      <c r="Y27" s="185">
        <v>9.9692307692307702E-3</v>
      </c>
      <c r="Z27" s="213">
        <v>2.0200000000000001E-3</v>
      </c>
      <c r="AA27" s="185"/>
      <c r="AB27" s="185">
        <v>0.15538461538461537</v>
      </c>
      <c r="AC27" s="185"/>
      <c r="AD27" s="185"/>
      <c r="AE27" s="185"/>
      <c r="AF27" s="185"/>
      <c r="AG27" s="185"/>
      <c r="AH27" s="185"/>
      <c r="AI27" s="213">
        <f>0.00216+0.0015</f>
        <v>3.6600000000000001E-3</v>
      </c>
      <c r="AJ27" s="185"/>
      <c r="AK27" s="185">
        <v>0.13033333333333333</v>
      </c>
      <c r="AL27" s="186">
        <f t="shared" si="0"/>
        <v>9.6800000000000011E-3</v>
      </c>
      <c r="AM27" s="186">
        <f t="shared" si="1"/>
        <v>0</v>
      </c>
      <c r="AN27" s="186">
        <f t="shared" si="2"/>
        <v>0.35986495726495726</v>
      </c>
    </row>
    <row r="28" spans="1:40" ht="14.25" customHeight="1" x14ac:dyDescent="0.25">
      <c r="A28" s="184" t="s">
        <v>189</v>
      </c>
      <c r="B28" s="185"/>
      <c r="C28" s="185"/>
      <c r="D28" s="185">
        <v>0</v>
      </c>
      <c r="E28" s="185"/>
      <c r="F28" s="185"/>
      <c r="G28" s="185"/>
      <c r="H28" s="185"/>
      <c r="I28" s="185"/>
      <c r="J28" s="185"/>
      <c r="K28" s="185"/>
      <c r="L28" s="185"/>
      <c r="M28" s="185"/>
      <c r="N28" s="185">
        <v>2.37</v>
      </c>
      <c r="O28" s="185"/>
      <c r="P28" s="185">
        <v>29.375</v>
      </c>
      <c r="Q28" s="185"/>
      <c r="R28" s="185"/>
      <c r="S28" s="185"/>
      <c r="T28" s="185">
        <v>2.68</v>
      </c>
      <c r="U28" s="185">
        <v>24.58</v>
      </c>
      <c r="V28" s="185"/>
      <c r="W28" s="185"/>
      <c r="X28" s="185"/>
      <c r="Y28" s="185"/>
      <c r="Z28" s="185">
        <v>1.87</v>
      </c>
      <c r="AA28" s="185"/>
      <c r="AB28" s="185">
        <v>27.53846153846154</v>
      </c>
      <c r="AC28" s="185">
        <v>0.51</v>
      </c>
      <c r="AD28" s="185">
        <v>12.82</v>
      </c>
      <c r="AE28" s="185"/>
      <c r="AF28" s="185"/>
      <c r="AG28" s="185"/>
      <c r="AH28" s="185"/>
      <c r="AI28" s="185">
        <v>0.01</v>
      </c>
      <c r="AJ28" s="185"/>
      <c r="AK28" s="185">
        <v>0.4861111111111111</v>
      </c>
      <c r="AL28" s="186">
        <f t="shared" si="0"/>
        <v>7.44</v>
      </c>
      <c r="AM28" s="186">
        <f t="shared" si="1"/>
        <v>37.4</v>
      </c>
      <c r="AN28" s="186">
        <f t="shared" si="2"/>
        <v>57.399572649572654</v>
      </c>
    </row>
    <row r="29" spans="1:40" ht="14.25" customHeight="1" x14ac:dyDescent="0.25">
      <c r="A29" s="187" t="s">
        <v>167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>
        <v>0.03</v>
      </c>
      <c r="R29" s="185">
        <v>0.122</v>
      </c>
      <c r="S29" s="185"/>
      <c r="T29" s="185">
        <v>8.5000000000000006E-2</v>
      </c>
      <c r="U29" s="185">
        <v>0.72</v>
      </c>
      <c r="V29" s="185"/>
      <c r="W29" s="185"/>
      <c r="X29" s="185"/>
      <c r="Y29" s="185"/>
      <c r="Z29" s="185">
        <v>5.0000000000000001E-4</v>
      </c>
      <c r="AA29" s="185">
        <v>0.26600000000000001</v>
      </c>
      <c r="AB29" s="185"/>
      <c r="AC29" s="185">
        <v>6.0000000000000001E-3</v>
      </c>
      <c r="AD29" s="213">
        <v>4.0000000000000001E-3</v>
      </c>
      <c r="AE29" s="185"/>
      <c r="AF29" s="185"/>
      <c r="AG29" s="185"/>
      <c r="AH29" s="185"/>
      <c r="AI29" s="185">
        <v>1.9E-2</v>
      </c>
      <c r="AJ29" s="185">
        <v>8.4999999999999992E-2</v>
      </c>
      <c r="AK29" s="185"/>
      <c r="AL29" s="186">
        <f t="shared" si="0"/>
        <v>0.14050000000000001</v>
      </c>
      <c r="AM29" s="186">
        <f t="shared" si="1"/>
        <v>1.1970000000000001</v>
      </c>
      <c r="AN29" s="186">
        <f t="shared" si="2"/>
        <v>0</v>
      </c>
    </row>
    <row r="30" spans="1:40" ht="14.25" customHeight="1" x14ac:dyDescent="0.25">
      <c r="A30" s="184" t="s">
        <v>33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>
        <v>1.351</v>
      </c>
      <c r="AJ30" s="185">
        <v>10.462999999999999</v>
      </c>
      <c r="AK30" s="185"/>
      <c r="AL30" s="186">
        <f t="shared" si="0"/>
        <v>1.351</v>
      </c>
      <c r="AM30" s="186">
        <f t="shared" si="1"/>
        <v>10.462999999999999</v>
      </c>
      <c r="AN30" s="186">
        <f t="shared" si="2"/>
        <v>0</v>
      </c>
    </row>
    <row r="31" spans="1:40" ht="14.25" customHeight="1" x14ac:dyDescent="0.25">
      <c r="A31" s="184" t="s">
        <v>34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>
        <v>2.5299999999999998</v>
      </c>
      <c r="AJ31" s="185">
        <v>2.73</v>
      </c>
      <c r="AK31" s="185"/>
      <c r="AL31" s="186">
        <f t="shared" si="0"/>
        <v>2.5299999999999998</v>
      </c>
      <c r="AM31" s="186">
        <f t="shared" si="1"/>
        <v>2.73</v>
      </c>
      <c r="AN31" s="186">
        <f t="shared" si="2"/>
        <v>0</v>
      </c>
    </row>
    <row r="32" spans="1:40" ht="14.25" customHeight="1" x14ac:dyDescent="0.25">
      <c r="A32" s="184" t="s">
        <v>35</v>
      </c>
      <c r="B32" s="185">
        <v>0.01</v>
      </c>
      <c r="C32" s="185"/>
      <c r="D32" s="185">
        <v>2.7222222222222224E-2</v>
      </c>
      <c r="E32" s="185">
        <v>8.0000000000000002E-3</v>
      </c>
      <c r="F32" s="185"/>
      <c r="G32" s="185">
        <v>4.3809523809523805E-2</v>
      </c>
      <c r="H32" s="185"/>
      <c r="I32" s="185"/>
      <c r="J32" s="185"/>
      <c r="K32" s="185">
        <v>3.2000000000000001E-2</v>
      </c>
      <c r="L32" s="185"/>
      <c r="M32" s="185">
        <v>0.10571428571428572</v>
      </c>
      <c r="N32" s="185">
        <v>3.2000000000000001E-2</v>
      </c>
      <c r="O32" s="185"/>
      <c r="P32" s="185">
        <v>0.83750000000000002</v>
      </c>
      <c r="Q32" s="185"/>
      <c r="R32" s="185"/>
      <c r="S32" s="185"/>
      <c r="T32" s="185">
        <v>1.4999999999999999E-2</v>
      </c>
      <c r="U32" s="185">
        <v>16</v>
      </c>
      <c r="V32" s="185"/>
      <c r="W32" s="185">
        <v>3.6999999999999998E-2</v>
      </c>
      <c r="X32" s="185"/>
      <c r="Y32" s="185">
        <v>0.24615384615384617</v>
      </c>
      <c r="Z32" s="185">
        <v>2.5000000000000001E-2</v>
      </c>
      <c r="AA32" s="185"/>
      <c r="AB32" s="185">
        <v>0.18461538461538463</v>
      </c>
      <c r="AC32" s="185"/>
      <c r="AD32" s="185"/>
      <c r="AE32" s="185"/>
      <c r="AF32" s="185"/>
      <c r="AG32" s="185"/>
      <c r="AH32" s="185"/>
      <c r="AI32" s="185">
        <f>0.016+0.04+0.018+0.003</f>
        <v>7.6999999999999999E-2</v>
      </c>
      <c r="AJ32" s="185"/>
      <c r="AK32" s="185">
        <v>0.435</v>
      </c>
      <c r="AL32" s="186">
        <f t="shared" si="0"/>
        <v>0.23599999999999999</v>
      </c>
      <c r="AM32" s="186">
        <f t="shared" si="1"/>
        <v>16</v>
      </c>
      <c r="AN32" s="186">
        <f t="shared" si="2"/>
        <v>1.8800152625152626</v>
      </c>
    </row>
    <row r="33" spans="1:40" ht="14.25" customHeight="1" x14ac:dyDescent="0.25">
      <c r="A33" s="184" t="s">
        <v>36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>
        <v>55.03</v>
      </c>
      <c r="AJ33" s="185">
        <v>343.65</v>
      </c>
      <c r="AK33" s="185">
        <f>2317.304/180</f>
        <v>12.873911111111111</v>
      </c>
      <c r="AL33" s="186">
        <f t="shared" si="0"/>
        <v>55.03</v>
      </c>
      <c r="AM33" s="186">
        <f t="shared" si="1"/>
        <v>343.65</v>
      </c>
      <c r="AN33" s="186">
        <f t="shared" si="2"/>
        <v>12.873911111111111</v>
      </c>
    </row>
    <row r="34" spans="1:40" ht="14.25" customHeight="1" x14ac:dyDescent="0.25">
      <c r="A34" s="202" t="s">
        <v>241</v>
      </c>
      <c r="B34" s="185"/>
      <c r="C34" s="185"/>
      <c r="D34" s="185"/>
      <c r="E34" s="185"/>
      <c r="F34" s="185"/>
      <c r="G34" s="185"/>
      <c r="H34" s="185">
        <v>1.2350000000000001</v>
      </c>
      <c r="I34" s="185">
        <v>14.202999999999999</v>
      </c>
      <c r="J34" s="185"/>
      <c r="K34" s="185">
        <v>5.7000000000000002E-2</v>
      </c>
      <c r="L34" s="185"/>
      <c r="M34" s="185">
        <v>1.9428571428571428</v>
      </c>
      <c r="N34" s="185"/>
      <c r="O34" s="185"/>
      <c r="P34" s="185"/>
      <c r="Q34" s="185">
        <v>0.84299999999999997</v>
      </c>
      <c r="R34" s="185">
        <v>4.2149999999999999</v>
      </c>
      <c r="S34" s="185"/>
      <c r="T34" s="185">
        <v>2.4580000000000002</v>
      </c>
      <c r="U34" s="185">
        <v>18.434999999999999</v>
      </c>
      <c r="V34" s="185"/>
      <c r="W34" s="185"/>
      <c r="X34" s="185"/>
      <c r="Y34" s="185"/>
      <c r="Z34" s="185">
        <v>1.0780000000000001</v>
      </c>
      <c r="AA34" s="185"/>
      <c r="AB34" s="185">
        <v>33.169230769230772</v>
      </c>
      <c r="AC34" s="185">
        <v>2.7E-2</v>
      </c>
      <c r="AD34" s="185">
        <v>0.02</v>
      </c>
      <c r="AE34" s="185"/>
      <c r="AF34" s="185"/>
      <c r="AG34" s="185"/>
      <c r="AH34" s="185"/>
      <c r="AI34" s="185">
        <v>1.1910000000000001</v>
      </c>
      <c r="AJ34" s="185">
        <v>3.8109999999999999</v>
      </c>
      <c r="AK34" s="185"/>
      <c r="AL34" s="186">
        <f t="shared" si="0"/>
        <v>6.8890000000000002</v>
      </c>
      <c r="AM34" s="186">
        <f t="shared" si="1"/>
        <v>40.683999999999997</v>
      </c>
      <c r="AN34" s="186">
        <f t="shared" si="2"/>
        <v>35.112087912087915</v>
      </c>
    </row>
    <row r="35" spans="1:40" ht="14.25" customHeight="1" x14ac:dyDescent="0.25">
      <c r="A35" s="184" t="s">
        <v>37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6">
        <f t="shared" si="0"/>
        <v>0</v>
      </c>
      <c r="AM35" s="186">
        <f t="shared" si="1"/>
        <v>0</v>
      </c>
      <c r="AN35" s="186">
        <f t="shared" si="2"/>
        <v>0</v>
      </c>
    </row>
    <row r="36" spans="1:40" ht="14.25" customHeight="1" x14ac:dyDescent="0.25">
      <c r="A36" s="184" t="s">
        <v>38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>
        <v>3.1850000000000001</v>
      </c>
      <c r="O36" s="185"/>
      <c r="P36" s="185">
        <v>39.8125</v>
      </c>
      <c r="Q36" s="185"/>
      <c r="R36" s="185"/>
      <c r="S36" s="185"/>
      <c r="T36" s="185">
        <v>3.6829999999999998</v>
      </c>
      <c r="U36" s="185">
        <v>7.3659999999999997</v>
      </c>
      <c r="V36" s="185"/>
      <c r="W36" s="185"/>
      <c r="X36" s="185"/>
      <c r="Y36" s="185"/>
      <c r="Z36" s="185">
        <v>9.7099999999999991</v>
      </c>
      <c r="AA36" s="185">
        <v>24.792999999999999</v>
      </c>
      <c r="AB36" s="185">
        <v>14.246153846153845</v>
      </c>
      <c r="AC36" s="185"/>
      <c r="AD36" s="185"/>
      <c r="AE36" s="185"/>
      <c r="AF36" s="185"/>
      <c r="AG36" s="185"/>
      <c r="AH36" s="185"/>
      <c r="AI36" s="185"/>
      <c r="AJ36" s="185"/>
      <c r="AK36" s="185"/>
      <c r="AL36" s="186">
        <f t="shared" si="0"/>
        <v>16.577999999999999</v>
      </c>
      <c r="AM36" s="186">
        <f t="shared" si="1"/>
        <v>32.158999999999999</v>
      </c>
      <c r="AN36" s="186">
        <f t="shared" si="2"/>
        <v>54.058653846153845</v>
      </c>
    </row>
    <row r="37" spans="1:40" ht="14.25" customHeight="1" x14ac:dyDescent="0.25">
      <c r="A37" s="184" t="s">
        <v>90</v>
      </c>
      <c r="B37" s="185"/>
      <c r="C37" s="185"/>
      <c r="D37" s="185"/>
      <c r="E37" s="185">
        <v>2.3380000000000001E-2</v>
      </c>
      <c r="F37" s="185"/>
      <c r="G37" s="185">
        <f>261.89/210</f>
        <v>1.247095238095238</v>
      </c>
      <c r="H37" s="185"/>
      <c r="I37" s="185"/>
      <c r="J37" s="185"/>
      <c r="K37" s="185">
        <v>7.1999999999999995E-2</v>
      </c>
      <c r="L37" s="185"/>
      <c r="M37" s="185">
        <v>7.2003999999999992</v>
      </c>
      <c r="N37" s="185">
        <v>0.434</v>
      </c>
      <c r="O37" s="185">
        <v>0.53800000000000003</v>
      </c>
      <c r="P37" s="185"/>
      <c r="Q37" s="185"/>
      <c r="R37" s="185"/>
      <c r="S37" s="185"/>
      <c r="T37" s="185">
        <v>0.60299999999999998</v>
      </c>
      <c r="U37" s="185">
        <v>0.95499999999999996</v>
      </c>
      <c r="V37" s="185"/>
      <c r="W37" s="185"/>
      <c r="X37" s="185"/>
      <c r="Y37" s="185"/>
      <c r="Z37" s="185">
        <v>9.6000000000000002E-2</v>
      </c>
      <c r="AA37" s="185">
        <v>8.6999999999999994E-2</v>
      </c>
      <c r="AB37" s="185"/>
      <c r="AC37" s="185">
        <v>2.7E-2</v>
      </c>
      <c r="AD37" s="185">
        <v>0.32</v>
      </c>
      <c r="AE37" s="185"/>
      <c r="AF37" s="185"/>
      <c r="AG37" s="185"/>
      <c r="AH37" s="185"/>
      <c r="AI37" s="185">
        <f>0.088+0.008</f>
        <v>9.6000000000000002E-2</v>
      </c>
      <c r="AJ37" s="185">
        <f>0.112+0.012</f>
        <v>0.124</v>
      </c>
      <c r="AK37" s="185"/>
      <c r="AL37" s="186">
        <f t="shared" si="0"/>
        <v>1.35138</v>
      </c>
      <c r="AM37" s="186">
        <f t="shared" si="1"/>
        <v>2.024</v>
      </c>
      <c r="AN37" s="186">
        <f t="shared" si="2"/>
        <v>8.4474952380952377</v>
      </c>
    </row>
    <row r="38" spans="1:40" ht="14.25" customHeight="1" x14ac:dyDescent="0.25">
      <c r="A38" s="184" t="s">
        <v>40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>
        <v>24.85</v>
      </c>
      <c r="AJ38" s="185">
        <v>66.5</v>
      </c>
      <c r="AK38" s="185">
        <v>145.19444444444446</v>
      </c>
      <c r="AL38" s="186">
        <f t="shared" si="0"/>
        <v>24.85</v>
      </c>
      <c r="AM38" s="186">
        <f t="shared" si="1"/>
        <v>66.5</v>
      </c>
      <c r="AN38" s="186">
        <f t="shared" si="2"/>
        <v>145.19444444444446</v>
      </c>
    </row>
    <row r="39" spans="1:40" ht="14.25" customHeight="1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6"/>
      <c r="AM39" s="186"/>
      <c r="AN39" s="186"/>
    </row>
    <row r="40" spans="1:40" ht="14.25" customHeight="1" x14ac:dyDescent="0.25">
      <c r="A40" s="184" t="s">
        <v>9</v>
      </c>
      <c r="B40" s="186">
        <f>SUM(B4:B39)</f>
        <v>0.13427999999999998</v>
      </c>
      <c r="C40" s="186">
        <f t="shared" ref="C40:AN40" si="3">SUM(C4:C39)</f>
        <v>0.39600000000000002</v>
      </c>
      <c r="D40" s="186">
        <f t="shared" si="3"/>
        <v>2.5772222222222219</v>
      </c>
      <c r="E40" s="186">
        <f t="shared" si="3"/>
        <v>0.21238000000000001</v>
      </c>
      <c r="F40" s="186">
        <f t="shared" si="3"/>
        <v>0.59399999999999997</v>
      </c>
      <c r="G40" s="186">
        <f t="shared" si="3"/>
        <v>6.0025714285714304</v>
      </c>
      <c r="H40" s="186">
        <f t="shared" si="3"/>
        <v>16.629200000000001</v>
      </c>
      <c r="I40" s="186">
        <f t="shared" si="3"/>
        <v>179.37246700000003</v>
      </c>
      <c r="J40" s="186">
        <f t="shared" si="3"/>
        <v>5.7176111111111121</v>
      </c>
      <c r="K40" s="186">
        <f t="shared" si="3"/>
        <v>0.82147000000000003</v>
      </c>
      <c r="L40" s="186">
        <f t="shared" si="3"/>
        <v>3.96</v>
      </c>
      <c r="M40" s="186">
        <f t="shared" si="3"/>
        <v>17.843817142857141</v>
      </c>
      <c r="N40" s="186">
        <f t="shared" si="3"/>
        <v>11.66865</v>
      </c>
      <c r="O40" s="186">
        <f t="shared" si="3"/>
        <v>50.697999999999993</v>
      </c>
      <c r="P40" s="186">
        <f t="shared" si="3"/>
        <v>92.889737499999995</v>
      </c>
      <c r="Q40" s="186">
        <f t="shared" si="3"/>
        <v>12.251099999999999</v>
      </c>
      <c r="R40" s="186">
        <f t="shared" si="3"/>
        <v>65.23</v>
      </c>
      <c r="S40" s="186">
        <f t="shared" si="3"/>
        <v>1.7</v>
      </c>
      <c r="T40" s="186">
        <f t="shared" si="3"/>
        <v>55.890779999999999</v>
      </c>
      <c r="U40" s="186">
        <f t="shared" si="3"/>
        <v>511.31137999999999</v>
      </c>
      <c r="V40" s="186">
        <f t="shared" si="3"/>
        <v>4.25</v>
      </c>
      <c r="W40" s="186">
        <f t="shared" si="3"/>
        <v>0.42963999999999997</v>
      </c>
      <c r="X40" s="186">
        <f t="shared" si="3"/>
        <v>2.476</v>
      </c>
      <c r="Y40" s="186">
        <f t="shared" si="3"/>
        <v>5.4818153846153841</v>
      </c>
      <c r="Z40" s="186">
        <f t="shared" si="3"/>
        <v>30.874269999999999</v>
      </c>
      <c r="AA40" s="186">
        <f t="shared" si="3"/>
        <v>96.092699999999994</v>
      </c>
      <c r="AB40" s="186">
        <f t="shared" si="3"/>
        <v>166.46715384615385</v>
      </c>
      <c r="AC40" s="186">
        <f t="shared" si="3"/>
        <v>7.7674500000000002</v>
      </c>
      <c r="AD40" s="186">
        <f t="shared" si="3"/>
        <v>40.216999999999999</v>
      </c>
      <c r="AE40" s="186">
        <f t="shared" si="3"/>
        <v>13.901838888888888</v>
      </c>
      <c r="AF40" s="186">
        <f t="shared" si="3"/>
        <v>1.7999999999999999E-2</v>
      </c>
      <c r="AG40" s="186">
        <f t="shared" si="3"/>
        <v>0</v>
      </c>
      <c r="AH40" s="186">
        <f t="shared" si="3"/>
        <v>0.25055555555555559</v>
      </c>
      <c r="AI40" s="186">
        <f t="shared" si="3"/>
        <v>118.32481000000001</v>
      </c>
      <c r="AJ40" s="186">
        <f t="shared" si="3"/>
        <v>804.14395000000002</v>
      </c>
      <c r="AK40" s="186">
        <f t="shared" si="3"/>
        <v>225.45219444444447</v>
      </c>
      <c r="AL40" s="186">
        <f t="shared" si="3"/>
        <v>255.02202999999997</v>
      </c>
      <c r="AM40" s="186">
        <f t="shared" si="3"/>
        <v>1754.4914969999998</v>
      </c>
      <c r="AN40" s="186">
        <f t="shared" si="3"/>
        <v>542.53451752442004</v>
      </c>
    </row>
    <row r="41" spans="1:40" ht="16.5" customHeight="1" x14ac:dyDescent="0.25">
      <c r="A41" s="236" t="s">
        <v>303</v>
      </c>
    </row>
    <row r="42" spans="1:40" ht="16.5" customHeight="1" x14ac:dyDescent="0.25">
      <c r="A42" s="236" t="s">
        <v>209</v>
      </c>
    </row>
  </sheetData>
  <mergeCells count="14">
    <mergeCell ref="AL1:AN1"/>
    <mergeCell ref="AM2:AN2"/>
    <mergeCell ref="T1:V1"/>
    <mergeCell ref="W1:Y1"/>
    <mergeCell ref="Z1:AB1"/>
    <mergeCell ref="AC1:AE1"/>
    <mergeCell ref="AF1:AH1"/>
    <mergeCell ref="AI1:AK1"/>
    <mergeCell ref="B1:D1"/>
    <mergeCell ref="E1:G1"/>
    <mergeCell ref="H1:J1"/>
    <mergeCell ref="K1:M1"/>
    <mergeCell ref="Q1:S1"/>
    <mergeCell ref="N1:P1"/>
  </mergeCells>
  <pageMargins left="0.31" right="0.22" top="0.41" bottom="0.24" header="0.16" footer="0.16"/>
  <pageSetup paperSize="9" scale="90" orientation="landscape" verticalDpi="300" r:id="rId1"/>
  <headerFooter scaleWithDoc="0" alignWithMargins="0">
    <oddHeader xml:space="preserve">&amp;C&amp;"-,Bold"&amp;14Area and Production of Flowers 2013-14 (Final)&amp;R&amp;"-,Bold"&amp;8Area in '000 Ha
  Production in '000 MT
</oddHeader>
    <oddFooter>&amp;LNote : Shaded cells indicate negligible figures</oddFooter>
  </headerFooter>
  <colBreaks count="2" manualBreakCount="2">
    <brk id="16" max="1048575" man="1"/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14</vt:i4>
      </vt:variant>
    </vt:vector>
  </HeadingPairs>
  <TitlesOfParts>
    <vt:vector size="49" baseType="lpstr">
      <vt:lpstr>Summary</vt:lpstr>
      <vt:lpstr> Horticulture 2013-14(Final)</vt:lpstr>
      <vt:lpstr> Fruits 2013-14(Final)</vt:lpstr>
      <vt:lpstr> Citrus 2013-14(Final)</vt:lpstr>
      <vt:lpstr>Vegetables 2013-14(Final)</vt:lpstr>
      <vt:lpstr> Plantations 2013-14(Final)</vt:lpstr>
      <vt:lpstr> Spices 2013-14(Final)</vt:lpstr>
      <vt:lpstr> Flowers 2013-14(Final)</vt:lpstr>
      <vt:lpstr>Sheet9</vt:lpstr>
      <vt:lpstr>Sheet10</vt:lpstr>
      <vt:lpstr>Sheet11</vt:lpstr>
      <vt:lpstr>3rd Horticulture 2013-14</vt:lpstr>
      <vt:lpstr>3rd Fruits 2013-14</vt:lpstr>
      <vt:lpstr>3rd Citrus 2013-14</vt:lpstr>
      <vt:lpstr>3rd Vegetables 2013-14</vt:lpstr>
      <vt:lpstr>3rd Plantations 2013-14</vt:lpstr>
      <vt:lpstr>3rd Spices 2013-14</vt:lpstr>
      <vt:lpstr>Com. Hort.</vt:lpstr>
      <vt:lpstr>Com. Furits</vt:lpstr>
      <vt:lpstr>Com. Citrus</vt:lpstr>
      <vt:lpstr>Com.Veg.</vt:lpstr>
      <vt:lpstr>Com.Plantation</vt:lpstr>
      <vt:lpstr>Com.Spices</vt:lpstr>
      <vt:lpstr>Sheet1</vt:lpstr>
      <vt:lpstr>Graph-(1)</vt:lpstr>
      <vt:lpstr>Graph-(2)</vt:lpstr>
      <vt:lpstr>Graph-(3)</vt:lpstr>
      <vt:lpstr>Graph-(4)</vt:lpstr>
      <vt:lpstr>Graph-(5)</vt:lpstr>
      <vt:lpstr>Graph-(6)</vt:lpstr>
      <vt:lpstr>Graph-(7).</vt:lpstr>
      <vt:lpstr>Graph-(8)</vt:lpstr>
      <vt:lpstr>trends across est.</vt:lpstr>
      <vt:lpstr>Graph-(7)</vt:lpstr>
      <vt:lpstr>Sheet2</vt:lpstr>
      <vt:lpstr>' Fruits 2013-14(Final)'!Print_Area</vt:lpstr>
      <vt:lpstr>' Plantations 2013-14(Final)'!Print_Area</vt:lpstr>
      <vt:lpstr>'3rd Fruits 2013-14'!Print_Area</vt:lpstr>
      <vt:lpstr>'3rd Plantations 2013-14'!Print_Area</vt:lpstr>
      <vt:lpstr>'3rd Vegetables 2013-14'!Print_Area</vt:lpstr>
      <vt:lpstr>'Vegetables 2013-14(Final)'!Print_Area</vt:lpstr>
      <vt:lpstr>' Flowers 2013-14(Final)'!Print_Titles</vt:lpstr>
      <vt:lpstr>' Fruits 2013-14(Final)'!Print_Titles</vt:lpstr>
      <vt:lpstr>' Spices 2013-14(Final)'!Print_Titles</vt:lpstr>
      <vt:lpstr>'3rd Fruits 2013-14'!Print_Titles</vt:lpstr>
      <vt:lpstr>'3rd Spices 2013-14'!Print_Titles</vt:lpstr>
      <vt:lpstr>'3rd Vegetables 2013-14'!Print_Titles</vt:lpstr>
      <vt:lpstr>Summary!Print_Titles</vt:lpstr>
      <vt:lpstr>'Vegetables 2013-14(Final)'!Print_Titles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DILIP</dc:creator>
  <cp:lastModifiedBy>NeGPA</cp:lastModifiedBy>
  <cp:lastPrinted>2017-04-17T04:50:40Z</cp:lastPrinted>
  <dcterms:created xsi:type="dcterms:W3CDTF">2009-01-06T09:24:05Z</dcterms:created>
  <dcterms:modified xsi:type="dcterms:W3CDTF">2017-04-19T10:42:46Z</dcterms:modified>
</cp:coreProperties>
</file>