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7785" windowHeight="8205" tabRatio="881" firstSheet="2" activeTab="8"/>
  </bookViews>
  <sheets>
    <sheet name="Summary" sheetId="59" r:id="rId1"/>
    <sheet name=" Horticulture 2014-15(Final)" sheetId="34" r:id="rId2"/>
    <sheet name=" Fruits 2014-15(Final)" sheetId="31" r:id="rId3"/>
    <sheet name=" Citrus 2014-15(Final)" sheetId="30" r:id="rId4"/>
    <sheet name="Vegetables 2014-15(Final)" sheetId="32" r:id="rId5"/>
    <sheet name=" Plantations 2014-15(Final)" sheetId="29" r:id="rId6"/>
    <sheet name=" Spices 2014-15(Final)" sheetId="41" r:id="rId7"/>
    <sheet name="Flowers 2014-15(Final)" sheetId="70" r:id="rId8"/>
    <sheet name="Flowers 2014-15(Final) in Nos." sheetId="72" r:id="rId9"/>
    <sheet name="Sheet1" sheetId="73" r:id="rId10"/>
  </sheets>
  <definedNames>
    <definedName name="_xlnm._FilterDatabase" localSheetId="2" hidden="1">' Fruits 2014-15(Final)'!$A$1:$BC$38</definedName>
    <definedName name="_xlnm._FilterDatabase" localSheetId="4" hidden="1">'Vegetables 2014-15(Final)'!$A$1:$AZ$38</definedName>
    <definedName name="_xlnm.Print_Area" localSheetId="2">' Fruits 2014-15(Final)'!$A$1:$BC$38</definedName>
    <definedName name="_xlnm.Print_Area" localSheetId="5">' Plantations 2014-15(Final)'!$A$1:$K$49</definedName>
    <definedName name="_xlnm.Print_Area" localSheetId="0">Summary!$A$1:$E$105</definedName>
    <definedName name="_xlnm.Print_Area" localSheetId="4">'Vegetables 2014-15(Final)'!$A$1:$AZ$38</definedName>
    <definedName name="_xlnm.Print_Titles" localSheetId="2">' Fruits 2014-15(Final)'!$A:$A</definedName>
    <definedName name="_xlnm.Print_Titles" localSheetId="6">' Spices 2014-15(Final)'!$A:$A</definedName>
    <definedName name="_xlnm.Print_Titles" localSheetId="7">'Flowers 2014-15(Final)'!$A:$A</definedName>
    <definedName name="_xlnm.Print_Titles" localSheetId="8">'Flowers 2014-15(Final) in Nos.'!$A:$A</definedName>
    <definedName name="_xlnm.Print_Titles" localSheetId="0">Summary!$A:$A,Summary!$1:$5</definedName>
    <definedName name="_xlnm.Print_Titles" localSheetId="4">'Vegetables 2014-15(Final)'!$A:$A</definedName>
  </definedNames>
  <calcPr calcId="145621" fullCalcOnLoad="1"/>
</workbook>
</file>

<file path=xl/calcChain.xml><?xml version="1.0" encoding="utf-8"?>
<calcChain xmlns="http://schemas.openxmlformats.org/spreadsheetml/2006/main">
  <c r="F17" i="73" l="1"/>
  <c r="U19" i="31"/>
  <c r="AX33" i="32"/>
  <c r="AW33" i="32"/>
  <c r="F19" i="73"/>
  <c r="F21" i="73"/>
  <c r="AZ16" i="31"/>
  <c r="BA16" i="31"/>
  <c r="AJ14" i="70"/>
  <c r="AI14" i="70"/>
  <c r="G21" i="73"/>
  <c r="G19" i="73"/>
  <c r="O43" i="34"/>
  <c r="Q42" i="34"/>
  <c r="J4" i="29"/>
  <c r="M8" i="34"/>
  <c r="K4" i="29"/>
  <c r="N8" i="34"/>
  <c r="J6" i="29"/>
  <c r="M10" i="34"/>
  <c r="K6" i="29"/>
  <c r="J7" i="29"/>
  <c r="M11" i="34" s="1"/>
  <c r="K7" i="29"/>
  <c r="N11" i="34" s="1"/>
  <c r="J8" i="29"/>
  <c r="M12" i="34" s="1"/>
  <c r="K8" i="29"/>
  <c r="N12" i="34" s="1"/>
  <c r="J10" i="29"/>
  <c r="M14" i="34" s="1"/>
  <c r="K10" i="29"/>
  <c r="N14" i="34" s="1"/>
  <c r="J12" i="29"/>
  <c r="M16" i="34" s="1"/>
  <c r="K12" i="29"/>
  <c r="N16" i="34" s="1"/>
  <c r="J13" i="29"/>
  <c r="M17" i="34" s="1"/>
  <c r="K13" i="29"/>
  <c r="N17" i="34" s="1"/>
  <c r="J17" i="29"/>
  <c r="M21" i="34" s="1"/>
  <c r="K17" i="29"/>
  <c r="N21" i="34" s="1"/>
  <c r="J18" i="29"/>
  <c r="M22" i="34" s="1"/>
  <c r="K18" i="29"/>
  <c r="N22" i="34" s="1"/>
  <c r="J19" i="29"/>
  <c r="M23" i="34" s="1"/>
  <c r="K19" i="29"/>
  <c r="J20" i="29"/>
  <c r="K20" i="29"/>
  <c r="N24" i="34" s="1"/>
  <c r="J22" i="29"/>
  <c r="M26" i="34" s="1"/>
  <c r="K22" i="29"/>
  <c r="J23" i="29"/>
  <c r="K23" i="29"/>
  <c r="N27" i="34" s="1"/>
  <c r="J24" i="29"/>
  <c r="M28" i="34" s="1"/>
  <c r="K24" i="29"/>
  <c r="N28" i="34" s="1"/>
  <c r="J25" i="29"/>
  <c r="M29" i="34" s="1"/>
  <c r="K25" i="29"/>
  <c r="N29" i="34" s="1"/>
  <c r="J26" i="29"/>
  <c r="M30" i="34" s="1"/>
  <c r="K26" i="29"/>
  <c r="N30" i="34" s="1"/>
  <c r="J27" i="29"/>
  <c r="M31" i="34" s="1"/>
  <c r="K27" i="29"/>
  <c r="N31" i="34" s="1"/>
  <c r="J28" i="29"/>
  <c r="M32" i="34" s="1"/>
  <c r="K28" i="29"/>
  <c r="J32" i="29"/>
  <c r="K32" i="29"/>
  <c r="N36" i="34" s="1"/>
  <c r="J33" i="29"/>
  <c r="M37" i="34" s="1"/>
  <c r="K33" i="29"/>
  <c r="J34" i="29"/>
  <c r="M38" i="34"/>
  <c r="K34" i="29"/>
  <c r="J37" i="29"/>
  <c r="M41" i="34" s="1"/>
  <c r="K37" i="29"/>
  <c r="N41" i="34" s="1"/>
  <c r="K3" i="29"/>
  <c r="J3" i="29"/>
  <c r="M7" i="34" s="1"/>
  <c r="C38" i="29"/>
  <c r="D38" i="29"/>
  <c r="E38" i="29"/>
  <c r="F38" i="29"/>
  <c r="G38" i="29"/>
  <c r="H38" i="29"/>
  <c r="I38" i="29"/>
  <c r="B38" i="29"/>
  <c r="AZ4" i="32"/>
  <c r="AZ5" i="32"/>
  <c r="AZ6" i="32"/>
  <c r="E10" i="34" s="1"/>
  <c r="AZ7" i="32"/>
  <c r="E11" i="34" s="1"/>
  <c r="AZ8" i="32"/>
  <c r="E12" i="34" s="1"/>
  <c r="AZ9" i="32"/>
  <c r="E13" i="34" s="1"/>
  <c r="AZ10" i="32"/>
  <c r="E14" i="34" s="1"/>
  <c r="AZ11" i="32"/>
  <c r="E15" i="34" s="1"/>
  <c r="AZ12" i="32"/>
  <c r="E16" i="34" s="1"/>
  <c r="AZ13" i="32"/>
  <c r="E17" i="34" s="1"/>
  <c r="AZ14" i="32"/>
  <c r="E18" i="34" s="1"/>
  <c r="AZ15" i="32"/>
  <c r="E19" i="34" s="1"/>
  <c r="AZ16" i="32"/>
  <c r="E20" i="34" s="1"/>
  <c r="AZ17" i="32"/>
  <c r="E21" i="34" s="1"/>
  <c r="AZ20" i="32"/>
  <c r="E24" i="34" s="1"/>
  <c r="AZ21" i="32"/>
  <c r="E25" i="34" s="1"/>
  <c r="AZ23" i="32"/>
  <c r="E27" i="34" s="1"/>
  <c r="AZ24" i="32"/>
  <c r="E28" i="34" s="1"/>
  <c r="AZ25" i="32"/>
  <c r="E29" i="34" s="1"/>
  <c r="AZ26" i="32"/>
  <c r="E30" i="34" s="1"/>
  <c r="AZ27" i="32"/>
  <c r="E31" i="34" s="1"/>
  <c r="AZ28" i="32"/>
  <c r="E32" i="34" s="1"/>
  <c r="AZ31" i="32"/>
  <c r="E35" i="34" s="1"/>
  <c r="AZ36" i="32"/>
  <c r="E40" i="34" s="1"/>
  <c r="AZ3" i="32"/>
  <c r="E7" i="34" s="1"/>
  <c r="AY4" i="32"/>
  <c r="D8" i="34" s="1"/>
  <c r="AY5" i="32"/>
  <c r="D9" i="34" s="1"/>
  <c r="AY6" i="32"/>
  <c r="D10" i="34" s="1"/>
  <c r="AY7" i="32"/>
  <c r="D11" i="34" s="1"/>
  <c r="AY8" i="32"/>
  <c r="D12" i="34" s="1"/>
  <c r="AY9" i="32"/>
  <c r="D13" i="34" s="1"/>
  <c r="AY10" i="32"/>
  <c r="D14" i="34" s="1"/>
  <c r="AY11" i="32"/>
  <c r="D15" i="34" s="1"/>
  <c r="AY12" i="32"/>
  <c r="D16" i="34" s="1"/>
  <c r="AY13" i="32"/>
  <c r="D17" i="34" s="1"/>
  <c r="AY14" i="32"/>
  <c r="D18" i="34" s="1"/>
  <c r="AY15" i="32"/>
  <c r="D19" i="34" s="1"/>
  <c r="AY16" i="32"/>
  <c r="D20" i="34" s="1"/>
  <c r="AY17" i="32"/>
  <c r="D21" i="34" s="1"/>
  <c r="AY20" i="32"/>
  <c r="D24" i="34" s="1"/>
  <c r="AY21" i="32"/>
  <c r="D25" i="34" s="1"/>
  <c r="AY23" i="32"/>
  <c r="AY24" i="32"/>
  <c r="D28" i="34"/>
  <c r="AY25" i="32"/>
  <c r="D29" i="34"/>
  <c r="AY26" i="32"/>
  <c r="D30" i="34"/>
  <c r="AY27" i="32"/>
  <c r="D31" i="34"/>
  <c r="AY28" i="32"/>
  <c r="D32" i="34"/>
  <c r="AY31" i="32"/>
  <c r="D35" i="34"/>
  <c r="AY36" i="32"/>
  <c r="D40" i="34"/>
  <c r="AY3" i="32"/>
  <c r="C38" i="32"/>
  <c r="D38" i="32"/>
  <c r="E38" i="32"/>
  <c r="F38" i="32"/>
  <c r="D41" i="59"/>
  <c r="G38" i="32"/>
  <c r="H38" i="32"/>
  <c r="I38" i="32"/>
  <c r="E42" i="59"/>
  <c r="J38" i="32"/>
  <c r="K38" i="32"/>
  <c r="L38" i="32"/>
  <c r="M38" i="32"/>
  <c r="E44" i="59" s="1"/>
  <c r="N38" i="32"/>
  <c r="O38" i="32"/>
  <c r="P38" i="32"/>
  <c r="Q38" i="32"/>
  <c r="E46" i="59"/>
  <c r="R38" i="32"/>
  <c r="D47" i="59"/>
  <c r="S38" i="32"/>
  <c r="T38" i="32"/>
  <c r="U38" i="32"/>
  <c r="E48" i="59"/>
  <c r="V38" i="32"/>
  <c r="D49" i="59"/>
  <c r="W38" i="32"/>
  <c r="X38" i="32"/>
  <c r="Y38" i="32"/>
  <c r="Z38" i="32"/>
  <c r="AA38" i="32"/>
  <c r="AB38" i="32"/>
  <c r="AC38" i="32"/>
  <c r="E53" i="59"/>
  <c r="AD38" i="32"/>
  <c r="D54" i="59"/>
  <c r="AE38" i="32"/>
  <c r="AF38" i="32"/>
  <c r="AG38" i="32"/>
  <c r="E55" i="59"/>
  <c r="AH38" i="32"/>
  <c r="AI38" i="32"/>
  <c r="AJ38" i="32"/>
  <c r="AK38" i="32"/>
  <c r="AL38" i="32"/>
  <c r="D58" i="59"/>
  <c r="AM38" i="32"/>
  <c r="AN38" i="32"/>
  <c r="AO38" i="32"/>
  <c r="E59" i="59"/>
  <c r="AP38" i="32"/>
  <c r="D60" i="59"/>
  <c r="AQ38" i="32"/>
  <c r="AR38" i="32"/>
  <c r="AS38" i="32"/>
  <c r="AT38" i="32"/>
  <c r="AU38" i="32"/>
  <c r="AV38" i="32"/>
  <c r="B38" i="32"/>
  <c r="D39" i="59"/>
  <c r="J4" i="30"/>
  <c r="AF4" i="31"/>
  <c r="K4" i="30"/>
  <c r="AG4" i="31"/>
  <c r="BC4" i="31" s="1"/>
  <c r="C8" i="34"/>
  <c r="J5" i="30"/>
  <c r="AF5" i="31"/>
  <c r="BB5" i="31" s="1"/>
  <c r="B9" i="34" s="1"/>
  <c r="P9" i="34" s="1"/>
  <c r="K5" i="30"/>
  <c r="AG5" i="31"/>
  <c r="BC5" i="31" s="1"/>
  <c r="C9" i="34" s="1"/>
  <c r="J6" i="30"/>
  <c r="AF6" i="31"/>
  <c r="K6" i="30"/>
  <c r="AG6" i="31" s="1"/>
  <c r="BC6" i="31" s="1"/>
  <c r="C10" i="34" s="1"/>
  <c r="J7" i="30"/>
  <c r="AF7" i="31" s="1"/>
  <c r="BB7" i="31"/>
  <c r="B11" i="34" s="1"/>
  <c r="K7" i="30"/>
  <c r="AG7" i="31" s="1"/>
  <c r="BC7" i="31" s="1"/>
  <c r="C11" i="34" s="1"/>
  <c r="Q11" i="34" s="1"/>
  <c r="J8" i="30"/>
  <c r="AF8" i="31"/>
  <c r="BB8" i="31" s="1"/>
  <c r="B12" i="34"/>
  <c r="K8" i="30"/>
  <c r="AG8" i="31"/>
  <c r="BC8" i="31" s="1"/>
  <c r="C12" i="34" s="1"/>
  <c r="J9" i="30"/>
  <c r="AF9" i="31"/>
  <c r="BB9" i="31" s="1"/>
  <c r="B13" i="34" s="1"/>
  <c r="K9" i="30"/>
  <c r="AG9" i="31"/>
  <c r="BC9" i="31" s="1"/>
  <c r="C13" i="34"/>
  <c r="J10" i="30"/>
  <c r="AF10" i="31"/>
  <c r="BB10" i="31" s="1"/>
  <c r="B14" i="34"/>
  <c r="K10" i="30"/>
  <c r="AG10" i="31"/>
  <c r="BC10" i="31" s="1"/>
  <c r="C14" i="34" s="1"/>
  <c r="J11" i="30"/>
  <c r="AF11" i="31"/>
  <c r="BB11" i="31" s="1"/>
  <c r="B15" i="34" s="1"/>
  <c r="K11" i="30"/>
  <c r="J12" i="30"/>
  <c r="AF12" i="31" s="1"/>
  <c r="BB12" i="31"/>
  <c r="B16" i="34" s="1"/>
  <c r="P16" i="34" s="1"/>
  <c r="K12" i="30"/>
  <c r="AG12" i="31" s="1"/>
  <c r="BC12" i="31" s="1"/>
  <c r="C16" i="34" s="1"/>
  <c r="J13" i="30"/>
  <c r="AF13" i="31" s="1"/>
  <c r="K13" i="30"/>
  <c r="AG13" i="31" s="1"/>
  <c r="J14" i="30"/>
  <c r="AF14" i="31" s="1"/>
  <c r="BB14" i="31" s="1"/>
  <c r="B18" i="34" s="1"/>
  <c r="P18" i="34" s="1"/>
  <c r="K14" i="30"/>
  <c r="AG14" i="31" s="1"/>
  <c r="BC14" i="31"/>
  <c r="C18" i="34" s="1"/>
  <c r="J15" i="30"/>
  <c r="AF15" i="31"/>
  <c r="BB15" i="31" s="1"/>
  <c r="B19" i="34"/>
  <c r="K15" i="30"/>
  <c r="J16" i="30"/>
  <c r="AF16" i="31" s="1"/>
  <c r="BB16" i="31"/>
  <c r="B20" i="34" s="1"/>
  <c r="K16" i="30"/>
  <c r="AG16" i="31" s="1"/>
  <c r="BC16" i="31" s="1"/>
  <c r="C20" i="34" s="1"/>
  <c r="J17" i="30"/>
  <c r="AF17" i="31" s="1"/>
  <c r="BB17" i="31"/>
  <c r="B21" i="34" s="1"/>
  <c r="K17" i="30"/>
  <c r="AG17" i="31" s="1"/>
  <c r="BC17" i="31" s="1"/>
  <c r="C21" i="34" s="1"/>
  <c r="Q21" i="34" s="1"/>
  <c r="J18" i="30"/>
  <c r="AF18" i="31" s="1"/>
  <c r="K18" i="30"/>
  <c r="AG18" i="31" s="1"/>
  <c r="J19" i="30"/>
  <c r="AF19" i="31" s="1"/>
  <c r="BB19" i="31" s="1"/>
  <c r="B23" i="34" s="1"/>
  <c r="K19" i="30"/>
  <c r="J20" i="30"/>
  <c r="AF20" i="31"/>
  <c r="BB20" i="31" s="1"/>
  <c r="B24" i="34" s="1"/>
  <c r="K20" i="30"/>
  <c r="AG20" i="31"/>
  <c r="BC20" i="31" s="1"/>
  <c r="C24" i="34"/>
  <c r="J21" i="30"/>
  <c r="AF21" i="31"/>
  <c r="BB21" i="31" s="1"/>
  <c r="B25" i="34"/>
  <c r="K21" i="30"/>
  <c r="AG21" i="31"/>
  <c r="BC21" i="31" s="1"/>
  <c r="C25" i="34" s="1"/>
  <c r="J22" i="30"/>
  <c r="AF22" i="31"/>
  <c r="BB22" i="31" s="1"/>
  <c r="B26" i="34" s="1"/>
  <c r="K22" i="30"/>
  <c r="AG22" i="31"/>
  <c r="BC22" i="31" s="1"/>
  <c r="C26" i="34"/>
  <c r="J23" i="30"/>
  <c r="AF23" i="31"/>
  <c r="BB23" i="31" s="1"/>
  <c r="B27" i="34"/>
  <c r="K23" i="30"/>
  <c r="J24" i="30"/>
  <c r="AF24" i="31" s="1"/>
  <c r="BB24" i="31" s="1"/>
  <c r="B28" i="34" s="1"/>
  <c r="P28" i="34" s="1"/>
  <c r="K24" i="30"/>
  <c r="AG24" i="31" s="1"/>
  <c r="BC24" i="31"/>
  <c r="C28" i="34" s="1"/>
  <c r="J25" i="30"/>
  <c r="AF25" i="31"/>
  <c r="BB25" i="31" s="1"/>
  <c r="B29" i="34"/>
  <c r="K25" i="30"/>
  <c r="AG25" i="31" s="1"/>
  <c r="BC25" i="31" s="1"/>
  <c r="C29" i="34" s="1"/>
  <c r="J26" i="30"/>
  <c r="AF26" i="31" s="1"/>
  <c r="BB26" i="31"/>
  <c r="B30" i="34" s="1"/>
  <c r="P30" i="34" s="1"/>
  <c r="K26" i="30"/>
  <c r="AG26" i="31" s="1"/>
  <c r="BC26" i="31" s="1"/>
  <c r="C30" i="34" s="1"/>
  <c r="J27" i="30"/>
  <c r="AF27" i="31"/>
  <c r="BB27" i="31" s="1"/>
  <c r="B31" i="34" s="1"/>
  <c r="K27" i="30"/>
  <c r="J28" i="30"/>
  <c r="AF28" i="31"/>
  <c r="BB28" i="31" s="1"/>
  <c r="B32" i="34" s="1"/>
  <c r="K28" i="30"/>
  <c r="AG28" i="31"/>
  <c r="BC28" i="31" s="1"/>
  <c r="C32" i="34" s="1"/>
  <c r="Q32" i="34" s="1"/>
  <c r="J29" i="30"/>
  <c r="AF29" i="31"/>
  <c r="BB29" i="31" s="1"/>
  <c r="B33" i="34"/>
  <c r="K29" i="30"/>
  <c r="AG29" i="31"/>
  <c r="BC29" i="31" s="1"/>
  <c r="C33" i="34"/>
  <c r="J30" i="30"/>
  <c r="AF30" i="31"/>
  <c r="BB30" i="31" s="1"/>
  <c r="B34" i="34" s="1"/>
  <c r="P34" i="34" s="1"/>
  <c r="K30" i="30"/>
  <c r="AG30" i="31"/>
  <c r="BC30" i="31" s="1"/>
  <c r="C34" i="34" s="1"/>
  <c r="J31" i="30"/>
  <c r="AF31" i="31"/>
  <c r="BB31" i="31" s="1"/>
  <c r="B35" i="34"/>
  <c r="K31" i="30"/>
  <c r="J32" i="30"/>
  <c r="AF32" i="31" s="1"/>
  <c r="BB32" i="31"/>
  <c r="B36" i="34" s="1"/>
  <c r="K32" i="30"/>
  <c r="AG32" i="31" s="1"/>
  <c r="BC32" i="31" s="1"/>
  <c r="C36" i="34" s="1"/>
  <c r="J33" i="30"/>
  <c r="AF33" i="31" s="1"/>
  <c r="BB33" i="31"/>
  <c r="B37" i="34" s="1"/>
  <c r="K33" i="30"/>
  <c r="AG33" i="31" s="1"/>
  <c r="BC33" i="31" s="1"/>
  <c r="C37" i="34" s="1"/>
  <c r="Q37" i="34" s="1"/>
  <c r="J34" i="30"/>
  <c r="AF34" i="31" s="1"/>
  <c r="BB34" i="31"/>
  <c r="B38" i="34" s="1"/>
  <c r="K34" i="30"/>
  <c r="AG34" i="31" s="1"/>
  <c r="BC34" i="31" s="1"/>
  <c r="C38" i="34" s="1"/>
  <c r="J35" i="30"/>
  <c r="AF35" i="31" s="1"/>
  <c r="BB35" i="31"/>
  <c r="B39" i="34" s="1"/>
  <c r="K35" i="30"/>
  <c r="AG35" i="31" s="1"/>
  <c r="BC35" i="31" s="1"/>
  <c r="J36" i="30"/>
  <c r="AF36" i="31"/>
  <c r="K36" i="30"/>
  <c r="AG36" i="31"/>
  <c r="J37" i="30"/>
  <c r="AF37" i="31"/>
  <c r="BB37" i="31" s="1"/>
  <c r="B41" i="34"/>
  <c r="K37" i="30"/>
  <c r="AG37" i="31"/>
  <c r="BC37" i="31" s="1"/>
  <c r="C41" i="34" s="1"/>
  <c r="K3" i="30"/>
  <c r="J3" i="30"/>
  <c r="AF3" i="31" s="1"/>
  <c r="C38" i="30"/>
  <c r="D38" i="30"/>
  <c r="E38" i="30"/>
  <c r="E14" i="59" s="1"/>
  <c r="E17" i="59" s="1"/>
  <c r="F38" i="30"/>
  <c r="G38" i="30"/>
  <c r="H38" i="30"/>
  <c r="I38" i="30"/>
  <c r="E16" i="59" s="1"/>
  <c r="B38" i="30"/>
  <c r="AG11" i="31"/>
  <c r="BC11" i="31" s="1"/>
  <c r="C15" i="34" s="1"/>
  <c r="AG15" i="31"/>
  <c r="BC15" i="31"/>
  <c r="C19" i="34" s="1"/>
  <c r="Q19" i="34" s="1"/>
  <c r="AG19" i="31"/>
  <c r="BC19" i="31"/>
  <c r="C23" i="34"/>
  <c r="AG23" i="31"/>
  <c r="BC23" i="31" s="1"/>
  <c r="C27" i="34" s="1"/>
  <c r="Q27" i="34" s="1"/>
  <c r="AG27" i="31"/>
  <c r="BC27" i="31" s="1"/>
  <c r="C31" i="34" s="1"/>
  <c r="AG31" i="31"/>
  <c r="BC31" i="31"/>
  <c r="C35" i="34" s="1"/>
  <c r="C39" i="34"/>
  <c r="Q39" i="34" s="1"/>
  <c r="C38" i="31"/>
  <c r="E7" i="59" s="1"/>
  <c r="D38" i="31"/>
  <c r="E38" i="31"/>
  <c r="F38" i="31"/>
  <c r="D9" i="59" s="1"/>
  <c r="G38" i="31"/>
  <c r="H38" i="31"/>
  <c r="I38" i="31"/>
  <c r="J38" i="31"/>
  <c r="D10" i="59"/>
  <c r="K38" i="31"/>
  <c r="L38" i="31"/>
  <c r="M38" i="31"/>
  <c r="N38" i="31"/>
  <c r="O38" i="31"/>
  <c r="E18" i="59" s="1"/>
  <c r="P38" i="31"/>
  <c r="Q38" i="31"/>
  <c r="R38" i="31"/>
  <c r="D20" i="59" s="1"/>
  <c r="S38" i="31"/>
  <c r="T38" i="31"/>
  <c r="U38" i="31"/>
  <c r="E21" i="59" s="1"/>
  <c r="V38" i="31"/>
  <c r="W38" i="31"/>
  <c r="X38" i="31"/>
  <c r="Y38" i="31"/>
  <c r="E23" i="59" s="1"/>
  <c r="Z38" i="31"/>
  <c r="D24" i="59" s="1"/>
  <c r="AA38" i="31"/>
  <c r="E24" i="59"/>
  <c r="AB38" i="31"/>
  <c r="AC38" i="31"/>
  <c r="AD38" i="31"/>
  <c r="AE38" i="31"/>
  <c r="E26" i="59" s="1"/>
  <c r="AH38" i="31"/>
  <c r="AI38" i="31"/>
  <c r="AJ38" i="31"/>
  <c r="D28" i="59" s="1"/>
  <c r="AK38" i="31"/>
  <c r="AL38" i="31"/>
  <c r="AM38" i="31"/>
  <c r="AN38" i="31"/>
  <c r="D30" i="59" s="1"/>
  <c r="AO38" i="31"/>
  <c r="E30" i="59"/>
  <c r="AP38" i="31"/>
  <c r="AQ38" i="31"/>
  <c r="AR38" i="31"/>
  <c r="AS38" i="31"/>
  <c r="E32" i="59" s="1"/>
  <c r="AT38" i="31"/>
  <c r="AU38" i="31"/>
  <c r="AV38" i="31"/>
  <c r="D34" i="59"/>
  <c r="AW38" i="31"/>
  <c r="AX38" i="31"/>
  <c r="AY38" i="31"/>
  <c r="B38" i="31"/>
  <c r="D7" i="59" s="1"/>
  <c r="AL14" i="70"/>
  <c r="F17" i="34"/>
  <c r="AB5" i="70"/>
  <c r="J36" i="34"/>
  <c r="I36" i="34"/>
  <c r="J34" i="34"/>
  <c r="J22" i="34"/>
  <c r="I22" i="34"/>
  <c r="AX19" i="32"/>
  <c r="AZ19" i="32"/>
  <c r="E23" i="34"/>
  <c r="AW19" i="32"/>
  <c r="AY19" i="32" s="1"/>
  <c r="D23" i="34" s="1"/>
  <c r="P23" i="34" s="1"/>
  <c r="AX37" i="32"/>
  <c r="AZ37" i="32" s="1"/>
  <c r="E41" i="34" s="1"/>
  <c r="AW37" i="32"/>
  <c r="AY37" i="32"/>
  <c r="D41" i="34" s="1"/>
  <c r="AX35" i="32"/>
  <c r="AZ35" i="32"/>
  <c r="E39" i="34"/>
  <c r="AW35" i="32"/>
  <c r="AY35" i="32" s="1"/>
  <c r="D39" i="34" s="1"/>
  <c r="AZ33" i="32"/>
  <c r="E37" i="34" s="1"/>
  <c r="AY33" i="32"/>
  <c r="D37" i="34"/>
  <c r="AX32" i="32"/>
  <c r="AZ32" i="32" s="1"/>
  <c r="E36" i="34" s="1"/>
  <c r="AW32" i="32"/>
  <c r="AY32" i="32"/>
  <c r="D36" i="34" s="1"/>
  <c r="AX30" i="32"/>
  <c r="AZ30" i="32"/>
  <c r="E34" i="34"/>
  <c r="AW30" i="32"/>
  <c r="AY30" i="32" s="1"/>
  <c r="D34" i="34" s="1"/>
  <c r="AX22" i="32"/>
  <c r="AZ22" i="32" s="1"/>
  <c r="E26" i="34" s="1"/>
  <c r="AW22" i="32"/>
  <c r="AY22" i="32"/>
  <c r="D26" i="34" s="1"/>
  <c r="AX18" i="32"/>
  <c r="AW18" i="32"/>
  <c r="AY18" i="32"/>
  <c r="D22" i="34" s="1"/>
  <c r="BA36" i="31"/>
  <c r="AZ36" i="31"/>
  <c r="BA18" i="31"/>
  <c r="AZ18" i="31"/>
  <c r="BA13" i="31"/>
  <c r="AZ13" i="31"/>
  <c r="AX34" i="32"/>
  <c r="AZ34" i="32" s="1"/>
  <c r="E38" i="34" s="1"/>
  <c r="AW34" i="32"/>
  <c r="AY34" i="32"/>
  <c r="D38" i="34" s="1"/>
  <c r="AJ5" i="70"/>
  <c r="AJ39" i="70"/>
  <c r="AI5" i="70"/>
  <c r="AL5" i="70" s="1"/>
  <c r="F8" i="34" s="1"/>
  <c r="AX29" i="32"/>
  <c r="AZ29" i="32"/>
  <c r="E33" i="34" s="1"/>
  <c r="AW29" i="32"/>
  <c r="AY29" i="32"/>
  <c r="D33" i="34"/>
  <c r="P33" i="34" s="1"/>
  <c r="AK38" i="72"/>
  <c r="AN38" i="72" s="1"/>
  <c r="AK37" i="72"/>
  <c r="AK32" i="72"/>
  <c r="AK18" i="72"/>
  <c r="AK16" i="72"/>
  <c r="AK15" i="72"/>
  <c r="AK7" i="72"/>
  <c r="AE19" i="72"/>
  <c r="AE7" i="72"/>
  <c r="AB36" i="72"/>
  <c r="AB32" i="72"/>
  <c r="AB26" i="72"/>
  <c r="AB19" i="72"/>
  <c r="AB15" i="72"/>
  <c r="AB8" i="72"/>
  <c r="AB7" i="72"/>
  <c r="AB6" i="72"/>
  <c r="AB5" i="72"/>
  <c r="AN5" i="72"/>
  <c r="Y32" i="72"/>
  <c r="Y26" i="72"/>
  <c r="Y25" i="72"/>
  <c r="Y7" i="72"/>
  <c r="V7" i="72"/>
  <c r="V39" i="72" s="1"/>
  <c r="S7" i="72"/>
  <c r="S39" i="72"/>
  <c r="P37" i="72"/>
  <c r="P36" i="72"/>
  <c r="AN36" i="72"/>
  <c r="P32" i="72"/>
  <c r="P28" i="72"/>
  <c r="P26" i="72"/>
  <c r="P19" i="72"/>
  <c r="P16" i="72"/>
  <c r="P15" i="72"/>
  <c r="P8" i="72"/>
  <c r="P7" i="72"/>
  <c r="M37" i="72"/>
  <c r="M34" i="72"/>
  <c r="AN34" i="72" s="1"/>
  <c r="M32" i="72"/>
  <c r="M28" i="72"/>
  <c r="M26" i="72"/>
  <c r="M25" i="72"/>
  <c r="M19" i="72"/>
  <c r="M16" i="72"/>
  <c r="M15" i="72"/>
  <c r="M13" i="72"/>
  <c r="M7" i="72"/>
  <c r="M6" i="72"/>
  <c r="J25" i="72"/>
  <c r="J16" i="72"/>
  <c r="J15" i="72"/>
  <c r="J7" i="72"/>
  <c r="G37" i="72"/>
  <c r="G32" i="72"/>
  <c r="G26" i="72"/>
  <c r="G25" i="72"/>
  <c r="G19" i="72"/>
  <c r="G16" i="72"/>
  <c r="G7" i="72"/>
  <c r="D32" i="72"/>
  <c r="D26" i="72"/>
  <c r="D25" i="72"/>
  <c r="D19" i="72"/>
  <c r="D13" i="72"/>
  <c r="D7" i="72"/>
  <c r="D6" i="72"/>
  <c r="AJ39" i="72"/>
  <c r="AH39" i="72"/>
  <c r="AG39" i="72"/>
  <c r="AF39" i="72"/>
  <c r="AD39" i="72"/>
  <c r="AC39" i="72"/>
  <c r="AA39" i="72"/>
  <c r="Z39" i="72"/>
  <c r="X39" i="72"/>
  <c r="W39" i="72"/>
  <c r="U39" i="72"/>
  <c r="T39" i="72"/>
  <c r="R39" i="72"/>
  <c r="Q39" i="72"/>
  <c r="O39" i="72"/>
  <c r="N39" i="72"/>
  <c r="L39" i="72"/>
  <c r="K39" i="72"/>
  <c r="I39" i="72"/>
  <c r="H39" i="72"/>
  <c r="F39" i="72"/>
  <c r="E39" i="72"/>
  <c r="C39" i="72"/>
  <c r="B39" i="72"/>
  <c r="AM38" i="72"/>
  <c r="AL38" i="72"/>
  <c r="AM37" i="72"/>
  <c r="AL37" i="72"/>
  <c r="AM36" i="72"/>
  <c r="AL36" i="72"/>
  <c r="AN35" i="72"/>
  <c r="AM35" i="72"/>
  <c r="AL35" i="72"/>
  <c r="AM34" i="72"/>
  <c r="AL34" i="72"/>
  <c r="AM33" i="72"/>
  <c r="AL33" i="72"/>
  <c r="AK33" i="72"/>
  <c r="AN33" i="72" s="1"/>
  <c r="AM32" i="72"/>
  <c r="AL32" i="72"/>
  <c r="AN31" i="72"/>
  <c r="AM31" i="72"/>
  <c r="AL31" i="72"/>
  <c r="AN30" i="72"/>
  <c r="AM30" i="72"/>
  <c r="AL30" i="72"/>
  <c r="AN29" i="72"/>
  <c r="AM29" i="72"/>
  <c r="AL29" i="72"/>
  <c r="AM28" i="72"/>
  <c r="AL28" i="72"/>
  <c r="AB28" i="72"/>
  <c r="AN27" i="72"/>
  <c r="AM27" i="72"/>
  <c r="AL27" i="72"/>
  <c r="AL26" i="72"/>
  <c r="AM25" i="72"/>
  <c r="AL25" i="72"/>
  <c r="AN24" i="72"/>
  <c r="AM24" i="72"/>
  <c r="AL24" i="72"/>
  <c r="AN23" i="72"/>
  <c r="AM23" i="72"/>
  <c r="AL23" i="72"/>
  <c r="AN22" i="72"/>
  <c r="AM22" i="72"/>
  <c r="AL22" i="72"/>
  <c r="AN21" i="72"/>
  <c r="AM21" i="72"/>
  <c r="AL21" i="72"/>
  <c r="AM20" i="72"/>
  <c r="AK20" i="72"/>
  <c r="AN20" i="72"/>
  <c r="AI20" i="72"/>
  <c r="AM19" i="72"/>
  <c r="AL19" i="72"/>
  <c r="AN18" i="72"/>
  <c r="AM18" i="72"/>
  <c r="AL18" i="72"/>
  <c r="AN17" i="72"/>
  <c r="AM17" i="72"/>
  <c r="AL17" i="72"/>
  <c r="AM16" i="72"/>
  <c r="AL16" i="72"/>
  <c r="AM15" i="72"/>
  <c r="AL15" i="72"/>
  <c r="AN14" i="72"/>
  <c r="AM14" i="72"/>
  <c r="AL14" i="72"/>
  <c r="AM13" i="72"/>
  <c r="AL13" i="72"/>
  <c r="AN12" i="72"/>
  <c r="AM12" i="72"/>
  <c r="AL12" i="72"/>
  <c r="AN11" i="72"/>
  <c r="AM11" i="72"/>
  <c r="AL11" i="72"/>
  <c r="AN10" i="72"/>
  <c r="AM10" i="72"/>
  <c r="AL10" i="72"/>
  <c r="AN9" i="72"/>
  <c r="AM9" i="72"/>
  <c r="AL9" i="72"/>
  <c r="AM8" i="72"/>
  <c r="AL8" i="72"/>
  <c r="AM7" i="72"/>
  <c r="AL7" i="72"/>
  <c r="AM6" i="72"/>
  <c r="AL6" i="72"/>
  <c r="AL39" i="72" s="1"/>
  <c r="AM5" i="72"/>
  <c r="AL5" i="72"/>
  <c r="AN4" i="72"/>
  <c r="AM4" i="72"/>
  <c r="AM39" i="72" s="1"/>
  <c r="AL4" i="72"/>
  <c r="AK33" i="70"/>
  <c r="AN33" i="70"/>
  <c r="H36" i="34"/>
  <c r="AK20" i="70"/>
  <c r="AN20" i="70" s="1"/>
  <c r="H23" i="34" s="1"/>
  <c r="AI20" i="70"/>
  <c r="AL20" i="70" s="1"/>
  <c r="F23" i="34" s="1"/>
  <c r="AB28" i="70"/>
  <c r="P28" i="70"/>
  <c r="P39" i="70" s="1"/>
  <c r="AN26" i="70"/>
  <c r="H29" i="34"/>
  <c r="N13" i="34"/>
  <c r="N15" i="34"/>
  <c r="N19" i="34"/>
  <c r="M34" i="34"/>
  <c r="N37" i="34"/>
  <c r="N39" i="34"/>
  <c r="M40" i="34"/>
  <c r="E20" i="59"/>
  <c r="D16" i="59"/>
  <c r="E40" i="59"/>
  <c r="E8" i="34"/>
  <c r="E9" i="34"/>
  <c r="D27" i="34"/>
  <c r="M9" i="34"/>
  <c r="N9" i="34"/>
  <c r="N10" i="34"/>
  <c r="M13" i="34"/>
  <c r="M15" i="34"/>
  <c r="M18" i="34"/>
  <c r="N18" i="34"/>
  <c r="M19" i="34"/>
  <c r="M20" i="34"/>
  <c r="N20" i="34"/>
  <c r="N23" i="34"/>
  <c r="M24" i="34"/>
  <c r="M25" i="34"/>
  <c r="N25" i="34"/>
  <c r="N26" i="34"/>
  <c r="M27" i="34"/>
  <c r="N32" i="34"/>
  <c r="M33" i="34"/>
  <c r="N33" i="34"/>
  <c r="N34" i="34"/>
  <c r="M35" i="34"/>
  <c r="N35" i="34"/>
  <c r="M36" i="34"/>
  <c r="N38" i="34"/>
  <c r="M39" i="34"/>
  <c r="N40" i="34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AB34" i="41"/>
  <c r="AC34" i="41"/>
  <c r="AD34" i="41"/>
  <c r="AE34" i="41"/>
  <c r="AF34" i="41"/>
  <c r="AG34" i="41"/>
  <c r="AH34" i="41"/>
  <c r="AI34" i="41"/>
  <c r="B34" i="41"/>
  <c r="AJ4" i="41"/>
  <c r="K8" i="34" s="1"/>
  <c r="AK4" i="41"/>
  <c r="L8" i="34"/>
  <c r="AJ5" i="41"/>
  <c r="K9" i="34" s="1"/>
  <c r="AK5" i="41"/>
  <c r="L9" i="34"/>
  <c r="AJ6" i="41"/>
  <c r="K10" i="34" s="1"/>
  <c r="AK6" i="41"/>
  <c r="L10" i="34"/>
  <c r="AJ7" i="41"/>
  <c r="K11" i="34" s="1"/>
  <c r="AK7" i="41"/>
  <c r="L11" i="34"/>
  <c r="AJ8" i="41"/>
  <c r="K12" i="34" s="1"/>
  <c r="AK8" i="41"/>
  <c r="L12" i="34"/>
  <c r="AJ9" i="41"/>
  <c r="K16" i="34" s="1"/>
  <c r="AK9" i="41"/>
  <c r="L16" i="34"/>
  <c r="AJ10" i="41"/>
  <c r="K17" i="34" s="1"/>
  <c r="AK10" i="41"/>
  <c r="L17" i="34"/>
  <c r="AJ11" i="41"/>
  <c r="K18" i="34" s="1"/>
  <c r="AK11" i="41"/>
  <c r="L18" i="34"/>
  <c r="AJ12" i="41"/>
  <c r="K19" i="34" s="1"/>
  <c r="AK12" i="41"/>
  <c r="L19" i="34"/>
  <c r="AJ13" i="41"/>
  <c r="K20" i="34" s="1"/>
  <c r="AK13" i="41"/>
  <c r="L20" i="34"/>
  <c r="AJ14" i="41"/>
  <c r="K21" i="34" s="1"/>
  <c r="AK14" i="41"/>
  <c r="L21" i="34"/>
  <c r="AJ15" i="41"/>
  <c r="K22" i="34" s="1"/>
  <c r="AK15" i="41"/>
  <c r="L22" i="34"/>
  <c r="AJ16" i="41"/>
  <c r="K23" i="34" s="1"/>
  <c r="AK16" i="41"/>
  <c r="L23" i="34"/>
  <c r="AJ17" i="41"/>
  <c r="K25" i="34" s="1"/>
  <c r="AK17" i="41"/>
  <c r="L25" i="34"/>
  <c r="AJ18" i="41"/>
  <c r="K26" i="34" s="1"/>
  <c r="AK18" i="41"/>
  <c r="L26" i="34"/>
  <c r="AJ19" i="41"/>
  <c r="K27" i="34" s="1"/>
  <c r="AK19" i="41"/>
  <c r="L27" i="34"/>
  <c r="AJ20" i="41"/>
  <c r="K28" i="34" s="1"/>
  <c r="AK20" i="41"/>
  <c r="L28" i="34" s="1"/>
  <c r="AJ21" i="41"/>
  <c r="K29" i="34" s="1"/>
  <c r="AK21" i="41"/>
  <c r="L29" i="34" s="1"/>
  <c r="AJ22" i="41"/>
  <c r="K30" i="34" s="1"/>
  <c r="AK22" i="41"/>
  <c r="L30" i="34" s="1"/>
  <c r="AJ23" i="41"/>
  <c r="K31" i="34" s="1"/>
  <c r="K43" i="34" s="1"/>
  <c r="AK23" i="41"/>
  <c r="L31" i="34" s="1"/>
  <c r="AJ24" i="41"/>
  <c r="K32" i="34"/>
  <c r="AK24" i="41"/>
  <c r="AJ25" i="41"/>
  <c r="K33" i="34" s="1"/>
  <c r="AK25" i="41"/>
  <c r="L33" i="34" s="1"/>
  <c r="AJ26" i="41"/>
  <c r="K34" i="34" s="1"/>
  <c r="AK26" i="41"/>
  <c r="L34" i="34" s="1"/>
  <c r="AJ27" i="41"/>
  <c r="K35" i="34" s="1"/>
  <c r="AK27" i="41"/>
  <c r="L35" i="34" s="1"/>
  <c r="AJ28" i="41"/>
  <c r="K36" i="34" s="1"/>
  <c r="AK28" i="41"/>
  <c r="L36" i="34" s="1"/>
  <c r="AJ29" i="41"/>
  <c r="K37" i="34" s="1"/>
  <c r="AK29" i="41"/>
  <c r="L37" i="34" s="1"/>
  <c r="AJ30" i="41"/>
  <c r="K38" i="34" s="1"/>
  <c r="AK30" i="41"/>
  <c r="L38" i="34" s="1"/>
  <c r="AJ31" i="41"/>
  <c r="K39" i="34" s="1"/>
  <c r="AK31" i="41"/>
  <c r="L39" i="34" s="1"/>
  <c r="AJ32" i="41"/>
  <c r="K40" i="34" s="1"/>
  <c r="AK32" i="41"/>
  <c r="L40" i="34" s="1"/>
  <c r="AJ33" i="41"/>
  <c r="K41" i="34" s="1"/>
  <c r="AK33" i="41"/>
  <c r="L41" i="34" s="1"/>
  <c r="AK3" i="41"/>
  <c r="AJ3" i="41"/>
  <c r="K7" i="34"/>
  <c r="AL6" i="70"/>
  <c r="F9" i="34"/>
  <c r="AM6" i="70"/>
  <c r="G9" i="34"/>
  <c r="AN6" i="70"/>
  <c r="H9" i="34"/>
  <c r="AL7" i="70"/>
  <c r="F10" i="34"/>
  <c r="AM7" i="70"/>
  <c r="G10" i="34"/>
  <c r="AN7" i="70"/>
  <c r="H10" i="34"/>
  <c r="AL8" i="70"/>
  <c r="F11" i="34" s="1"/>
  <c r="AM8" i="70"/>
  <c r="G11" i="34"/>
  <c r="AN8" i="70"/>
  <c r="H11" i="34" s="1"/>
  <c r="AL9" i="70"/>
  <c r="F12" i="34"/>
  <c r="AM9" i="70"/>
  <c r="G12" i="34" s="1"/>
  <c r="Q12" i="34" s="1"/>
  <c r="AN9" i="70"/>
  <c r="H12" i="34"/>
  <c r="AL10" i="70"/>
  <c r="F13" i="34" s="1"/>
  <c r="AM10" i="70"/>
  <c r="G13" i="34"/>
  <c r="AN10" i="70"/>
  <c r="H13" i="34" s="1"/>
  <c r="AL11" i="70"/>
  <c r="F14" i="34"/>
  <c r="P14" i="34" s="1"/>
  <c r="AM11" i="70"/>
  <c r="G14" i="34" s="1"/>
  <c r="AN11" i="70"/>
  <c r="H14" i="34"/>
  <c r="AL12" i="70"/>
  <c r="F15" i="34" s="1"/>
  <c r="AM12" i="70"/>
  <c r="G15" i="34"/>
  <c r="AN12" i="70"/>
  <c r="H15" i="34" s="1"/>
  <c r="AL13" i="70"/>
  <c r="F16" i="34"/>
  <c r="AM13" i="70"/>
  <c r="G16" i="34" s="1"/>
  <c r="AN13" i="70"/>
  <c r="H16" i="34"/>
  <c r="AM14" i="70"/>
  <c r="G17" i="34" s="1"/>
  <c r="AN14" i="70"/>
  <c r="H17" i="34"/>
  <c r="AL15" i="70"/>
  <c r="F18" i="34" s="1"/>
  <c r="AM15" i="70"/>
  <c r="G18" i="34"/>
  <c r="AN15" i="70"/>
  <c r="H18" i="34" s="1"/>
  <c r="AL16" i="70"/>
  <c r="F19" i="34"/>
  <c r="AM16" i="70"/>
  <c r="G19" i="34" s="1"/>
  <c r="AN16" i="70"/>
  <c r="H19" i="34"/>
  <c r="AL17" i="70"/>
  <c r="F20" i="34" s="1"/>
  <c r="AM17" i="70"/>
  <c r="G20" i="34"/>
  <c r="AN17" i="70"/>
  <c r="H20" i="34" s="1"/>
  <c r="AL18" i="70"/>
  <c r="F21" i="34"/>
  <c r="AM18" i="70"/>
  <c r="G21" i="34" s="1"/>
  <c r="AN18" i="70"/>
  <c r="H21" i="34"/>
  <c r="AL19" i="70"/>
  <c r="F22" i="34" s="1"/>
  <c r="AM19" i="70"/>
  <c r="G22" i="34"/>
  <c r="AN19" i="70"/>
  <c r="H22" i="34" s="1"/>
  <c r="AM20" i="70"/>
  <c r="G23" i="34"/>
  <c r="AL21" i="70"/>
  <c r="F24" i="34" s="1"/>
  <c r="P24" i="34" s="1"/>
  <c r="AM21" i="70"/>
  <c r="G24" i="34"/>
  <c r="AN21" i="70"/>
  <c r="H24" i="34" s="1"/>
  <c r="AL22" i="70"/>
  <c r="F25" i="34"/>
  <c r="AM22" i="70"/>
  <c r="G25" i="34" s="1"/>
  <c r="AN22" i="70"/>
  <c r="H25" i="34"/>
  <c r="AL23" i="70"/>
  <c r="F26" i="34" s="1"/>
  <c r="AM23" i="70"/>
  <c r="G26" i="34"/>
  <c r="AN23" i="70"/>
  <c r="H26" i="34" s="1"/>
  <c r="Q26" i="34" s="1"/>
  <c r="AL24" i="70"/>
  <c r="F27" i="34"/>
  <c r="AM24" i="70"/>
  <c r="G27" i="34" s="1"/>
  <c r="AN24" i="70"/>
  <c r="H27" i="34"/>
  <c r="AL25" i="70"/>
  <c r="F28" i="34" s="1"/>
  <c r="AM25" i="70"/>
  <c r="G28" i="34"/>
  <c r="AN25" i="70"/>
  <c r="H28" i="34" s="1"/>
  <c r="AL26" i="70"/>
  <c r="F29" i="34"/>
  <c r="AM26" i="70"/>
  <c r="G29" i="34" s="1"/>
  <c r="Q29" i="34" s="1"/>
  <c r="AL27" i="70"/>
  <c r="F30" i="34"/>
  <c r="AM27" i="70"/>
  <c r="G30" i="34" s="1"/>
  <c r="AN27" i="70"/>
  <c r="H30" i="34"/>
  <c r="AL28" i="70"/>
  <c r="F31" i="34" s="1"/>
  <c r="AM28" i="70"/>
  <c r="G31" i="34"/>
  <c r="AL29" i="70"/>
  <c r="F32" i="34" s="1"/>
  <c r="AM29" i="70"/>
  <c r="G32" i="34"/>
  <c r="AN29" i="70"/>
  <c r="H32" i="34" s="1"/>
  <c r="AL30" i="70"/>
  <c r="F33" i="34"/>
  <c r="AM30" i="70"/>
  <c r="G33" i="34" s="1"/>
  <c r="AN30" i="70"/>
  <c r="H33" i="34" s="1"/>
  <c r="Q33" i="34" s="1"/>
  <c r="AL31" i="70"/>
  <c r="F34" i="34" s="1"/>
  <c r="AM31" i="70"/>
  <c r="G34" i="34"/>
  <c r="AN31" i="70"/>
  <c r="H34" i="34" s="1"/>
  <c r="AL32" i="70"/>
  <c r="F35" i="34" s="1"/>
  <c r="P35" i="34" s="1"/>
  <c r="AM32" i="70"/>
  <c r="G35" i="34" s="1"/>
  <c r="AN32" i="70"/>
  <c r="H35" i="34"/>
  <c r="AL33" i="70"/>
  <c r="F36" i="34" s="1"/>
  <c r="AM33" i="70"/>
  <c r="G36" i="34" s="1"/>
  <c r="Q36" i="34" s="1"/>
  <c r="AL34" i="70"/>
  <c r="F37" i="34" s="1"/>
  <c r="AM34" i="70"/>
  <c r="G37" i="34"/>
  <c r="AN34" i="70"/>
  <c r="H37" i="34" s="1"/>
  <c r="AL35" i="70"/>
  <c r="F38" i="34" s="1"/>
  <c r="P38" i="34" s="1"/>
  <c r="AM35" i="70"/>
  <c r="G38" i="34" s="1"/>
  <c r="AN35" i="70"/>
  <c r="H38" i="34"/>
  <c r="AL36" i="70"/>
  <c r="F39" i="34" s="1"/>
  <c r="AM36" i="70"/>
  <c r="G39" i="34" s="1"/>
  <c r="AN36" i="70"/>
  <c r="H39" i="34" s="1"/>
  <c r="AL37" i="70"/>
  <c r="F40" i="34"/>
  <c r="AM37" i="70"/>
  <c r="G40" i="34" s="1"/>
  <c r="AN37" i="70"/>
  <c r="H40" i="34" s="1"/>
  <c r="Q40" i="34" s="1"/>
  <c r="AL38" i="70"/>
  <c r="F41" i="34" s="1"/>
  <c r="AM38" i="70"/>
  <c r="G41" i="34"/>
  <c r="AN38" i="70"/>
  <c r="H41" i="34" s="1"/>
  <c r="AM4" i="70"/>
  <c r="G7" i="34" s="1"/>
  <c r="G43" i="34" s="1"/>
  <c r="AN4" i="70"/>
  <c r="H7" i="34"/>
  <c r="AL4" i="70"/>
  <c r="F7" i="34"/>
  <c r="C39" i="70"/>
  <c r="D39" i="70"/>
  <c r="E39" i="70"/>
  <c r="F39" i="70"/>
  <c r="G39" i="70"/>
  <c r="H39" i="70"/>
  <c r="I39" i="70"/>
  <c r="J39" i="70"/>
  <c r="K39" i="70"/>
  <c r="L39" i="70"/>
  <c r="M39" i="70"/>
  <c r="N39" i="70"/>
  <c r="O39" i="70"/>
  <c r="Q39" i="70"/>
  <c r="R39" i="70"/>
  <c r="S39" i="70"/>
  <c r="T39" i="70"/>
  <c r="U39" i="70"/>
  <c r="V39" i="70"/>
  <c r="W39" i="70"/>
  <c r="X39" i="70"/>
  <c r="Y39" i="70"/>
  <c r="Z39" i="70"/>
  <c r="AA39" i="70"/>
  <c r="AC39" i="70"/>
  <c r="AD39" i="70"/>
  <c r="AE39" i="70"/>
  <c r="AF39" i="70"/>
  <c r="AG39" i="70"/>
  <c r="AH39" i="70"/>
  <c r="B39" i="70"/>
  <c r="C71" i="59"/>
  <c r="B71" i="59"/>
  <c r="C100" i="59"/>
  <c r="B100" i="59"/>
  <c r="C80" i="59"/>
  <c r="B80" i="59"/>
  <c r="C64" i="59"/>
  <c r="B64" i="59"/>
  <c r="C17" i="59"/>
  <c r="C37" i="59"/>
  <c r="C101" i="59"/>
  <c r="B17" i="59"/>
  <c r="B37" i="59" s="1"/>
  <c r="D93" i="59"/>
  <c r="D88" i="59"/>
  <c r="L32" i="34"/>
  <c r="E61" i="59"/>
  <c r="E9" i="59"/>
  <c r="D45" i="59"/>
  <c r="AM5" i="70"/>
  <c r="G8" i="34" s="1"/>
  <c r="AE39" i="72"/>
  <c r="I43" i="34"/>
  <c r="D66" i="59" s="1"/>
  <c r="E77" i="59"/>
  <c r="E60" i="59"/>
  <c r="E34" i="59"/>
  <c r="I42" i="29"/>
  <c r="E29" i="59"/>
  <c r="E83" i="59"/>
  <c r="E78" i="59"/>
  <c r="E49" i="59"/>
  <c r="E41" i="59"/>
  <c r="E25" i="59"/>
  <c r="E57" i="59"/>
  <c r="E79" i="59"/>
  <c r="D42" i="59"/>
  <c r="D14" i="59"/>
  <c r="D27" i="59"/>
  <c r="E96" i="59"/>
  <c r="D62" i="59"/>
  <c r="D52" i="59"/>
  <c r="AN7" i="72"/>
  <c r="D19" i="73"/>
  <c r="H19" i="73" s="1"/>
  <c r="D84" i="59"/>
  <c r="D96" i="59"/>
  <c r="D98" i="59"/>
  <c r="D95" i="59"/>
  <c r="D87" i="59"/>
  <c r="D91" i="59"/>
  <c r="D90" i="59"/>
  <c r="E84" i="59"/>
  <c r="E100" i="59" s="1"/>
  <c r="E21" i="73" s="1"/>
  <c r="D85" i="59"/>
  <c r="D50" i="59"/>
  <c r="E99" i="59"/>
  <c r="D33" i="59"/>
  <c r="D29" i="59"/>
  <c r="D53" i="59"/>
  <c r="AX38" i="32"/>
  <c r="E63" i="59" s="1"/>
  <c r="BC13" i="31"/>
  <c r="C17" i="34" s="1"/>
  <c r="Q17" i="34" s="1"/>
  <c r="E88" i="59"/>
  <c r="E94" i="59"/>
  <c r="D76" i="59"/>
  <c r="E98" i="59"/>
  <c r="E95" i="59"/>
  <c r="E87" i="59"/>
  <c r="E91" i="59"/>
  <c r="E90" i="59"/>
  <c r="E85" i="59"/>
  <c r="D46" i="59"/>
  <c r="E76" i="59"/>
  <c r="E80" i="59"/>
  <c r="E20" i="73" s="1"/>
  <c r="D48" i="59"/>
  <c r="E97" i="59"/>
  <c r="E92" i="59"/>
  <c r="D97" i="59"/>
  <c r="D86" i="59"/>
  <c r="D83" i="59"/>
  <c r="D92" i="59"/>
  <c r="E93" i="59"/>
  <c r="D99" i="59"/>
  <c r="D94" i="59"/>
  <c r="D78" i="59"/>
  <c r="BB13" i="31"/>
  <c r="B17" i="34" s="1"/>
  <c r="P17" i="34" s="1"/>
  <c r="E13" i="59"/>
  <c r="D40" i="59"/>
  <c r="E86" i="59"/>
  <c r="E89" i="59"/>
  <c r="B101" i="59"/>
  <c r="D44" i="59"/>
  <c r="AK34" i="41"/>
  <c r="D89" i="59"/>
  <c r="D61" i="59"/>
  <c r="D57" i="59"/>
  <c r="D35" i="59"/>
  <c r="D31" i="59"/>
  <c r="AN26" i="72"/>
  <c r="P39" i="72"/>
  <c r="AM26" i="72"/>
  <c r="Y39" i="72"/>
  <c r="BC36" i="31"/>
  <c r="C40" i="34"/>
  <c r="BC18" i="31"/>
  <c r="C22" i="34"/>
  <c r="AZ18" i="32"/>
  <c r="E22" i="34"/>
  <c r="E43" i="34" s="1"/>
  <c r="E73" i="59"/>
  <c r="D79" i="59"/>
  <c r="D80" i="59" s="1"/>
  <c r="D20" i="73" s="1"/>
  <c r="H20" i="73" s="1"/>
  <c r="E58" i="59"/>
  <c r="E54" i="59"/>
  <c r="E50" i="59"/>
  <c r="E45" i="59"/>
  <c r="D59" i="59"/>
  <c r="E15" i="59"/>
  <c r="D15" i="59"/>
  <c r="D55" i="59"/>
  <c r="E62" i="59"/>
  <c r="E47" i="59"/>
  <c r="E64" i="59" s="1"/>
  <c r="E17" i="73" s="1"/>
  <c r="D13" i="59"/>
  <c r="D17" i="59" s="1"/>
  <c r="E33" i="59"/>
  <c r="D56" i="59"/>
  <c r="E35" i="59"/>
  <c r="E31" i="59"/>
  <c r="E28" i="59"/>
  <c r="E27" i="59"/>
  <c r="D32" i="59"/>
  <c r="D77" i="59"/>
  <c r="E56" i="59"/>
  <c r="E39" i="59"/>
  <c r="E52" i="59"/>
  <c r="E43" i="59"/>
  <c r="D43" i="59"/>
  <c r="E51" i="59"/>
  <c r="D26" i="59"/>
  <c r="D25" i="59"/>
  <c r="D23" i="59"/>
  <c r="D22" i="59"/>
  <c r="D21" i="59"/>
  <c r="D19" i="59"/>
  <c r="D18" i="59"/>
  <c r="D11" i="59"/>
  <c r="D8" i="59"/>
  <c r="E22" i="59"/>
  <c r="E19" i="59"/>
  <c r="E11" i="59"/>
  <c r="E10" i="59"/>
  <c r="E8" i="59"/>
  <c r="AZ38" i="31"/>
  <c r="D36" i="59" s="1"/>
  <c r="AN8" i="72"/>
  <c r="G39" i="72"/>
  <c r="AN37" i="72"/>
  <c r="AN15" i="72"/>
  <c r="AK39" i="72"/>
  <c r="BB36" i="31"/>
  <c r="B40" i="34" s="1"/>
  <c r="P40" i="34" s="1"/>
  <c r="BB18" i="31"/>
  <c r="B22" i="34"/>
  <c r="L7" i="34"/>
  <c r="L43" i="34" s="1"/>
  <c r="AJ34" i="41"/>
  <c r="D39" i="72"/>
  <c r="AN32" i="72"/>
  <c r="M39" i="72"/>
  <c r="AN16" i="72"/>
  <c r="AN28" i="72"/>
  <c r="AI39" i="70"/>
  <c r="M43" i="34"/>
  <c r="BB4" i="31"/>
  <c r="B8" i="34" s="1"/>
  <c r="P8" i="34" s="1"/>
  <c r="AL20" i="72"/>
  <c r="AI39" i="72"/>
  <c r="AB39" i="70"/>
  <c r="AN5" i="70"/>
  <c r="H8" i="34" s="1"/>
  <c r="AN6" i="72"/>
  <c r="AN39" i="72" s="1"/>
  <c r="AN13" i="72"/>
  <c r="BA38" i="31"/>
  <c r="E36" i="59" s="1"/>
  <c r="J43" i="34"/>
  <c r="E66" i="59" s="1"/>
  <c r="E19" i="73" s="1"/>
  <c r="J38" i="30"/>
  <c r="AW38" i="32"/>
  <c r="D63" i="59" s="1"/>
  <c r="D7" i="34"/>
  <c r="D43" i="34" s="1"/>
  <c r="J38" i="29"/>
  <c r="AN19" i="72"/>
  <c r="AN25" i="72"/>
  <c r="J39" i="72"/>
  <c r="AB39" i="72"/>
  <c r="AG3" i="31"/>
  <c r="BC3" i="31" s="1"/>
  <c r="AK39" i="70"/>
  <c r="D100" i="59"/>
  <c r="D21" i="73" s="1"/>
  <c r="F20" i="73"/>
  <c r="G20" i="73"/>
  <c r="F18" i="73"/>
  <c r="G18" i="73"/>
  <c r="G17" i="73"/>
  <c r="G16" i="73"/>
  <c r="F16" i="73"/>
  <c r="G22" i="73"/>
  <c r="G5" i="73"/>
  <c r="G4" i="73"/>
  <c r="F22" i="73"/>
  <c r="BB6" i="31"/>
  <c r="B10" i="34" s="1"/>
  <c r="P10" i="34" s="1"/>
  <c r="Q38" i="34"/>
  <c r="Q20" i="34"/>
  <c r="P12" i="34"/>
  <c r="P39" i="34"/>
  <c r="P32" i="34"/>
  <c r="P11" i="34"/>
  <c r="P26" i="34"/>
  <c r="Q13" i="34"/>
  <c r="Q10" i="34"/>
  <c r="P22" i="34"/>
  <c r="P36" i="34"/>
  <c r="Q25" i="34"/>
  <c r="P19" i="34"/>
  <c r="P15" i="34"/>
  <c r="P13" i="34"/>
  <c r="Q15" i="34"/>
  <c r="P41" i="34"/>
  <c r="P37" i="34"/>
  <c r="Q24" i="34"/>
  <c r="Q23" i="34"/>
  <c r="Q16" i="34"/>
  <c r="P20" i="34"/>
  <c r="Q35" i="34"/>
  <c r="Q41" i="34"/>
  <c r="Q34" i="34"/>
  <c r="P27" i="34"/>
  <c r="P25" i="34"/>
  <c r="P21" i="34"/>
  <c r="Q14" i="34"/>
  <c r="Q9" i="34"/>
  <c r="I20" i="73" l="1"/>
  <c r="K20" i="73"/>
  <c r="D37" i="59"/>
  <c r="BC38" i="31"/>
  <c r="C7" i="34"/>
  <c r="I21" i="73"/>
  <c r="K21" i="73"/>
  <c r="J20" i="73"/>
  <c r="E37" i="59"/>
  <c r="D64" i="59"/>
  <c r="D17" i="73" s="1"/>
  <c r="I19" i="73"/>
  <c r="K19" i="73"/>
  <c r="Q8" i="34"/>
  <c r="K17" i="73"/>
  <c r="I17" i="73"/>
  <c r="H21" i="73"/>
  <c r="J21" i="73"/>
  <c r="AL39" i="70"/>
  <c r="D70" i="59" s="1"/>
  <c r="D71" i="59" s="1"/>
  <c r="D18" i="73" s="1"/>
  <c r="AY38" i="32"/>
  <c r="P31" i="34"/>
  <c r="K38" i="29"/>
  <c r="N7" i="34"/>
  <c r="N43" i="34" s="1"/>
  <c r="Q22" i="34"/>
  <c r="AG38" i="31"/>
  <c r="AM39" i="70"/>
  <c r="E70" i="59" s="1"/>
  <c r="AN28" i="70"/>
  <c r="H31" i="34" s="1"/>
  <c r="Q31" i="34" s="1"/>
  <c r="F43" i="34"/>
  <c r="Q28" i="34"/>
  <c r="Q18" i="34"/>
  <c r="AZ38" i="32"/>
  <c r="K38" i="30"/>
  <c r="AF38" i="31"/>
  <c r="BB3" i="31"/>
  <c r="Q30" i="34"/>
  <c r="P29" i="34"/>
  <c r="J19" i="73"/>
  <c r="B7" i="34" l="1"/>
  <c r="BB38" i="31"/>
  <c r="AN39" i="70"/>
  <c r="E69" i="59" s="1"/>
  <c r="E71" i="59" s="1"/>
  <c r="E18" i="73" s="1"/>
  <c r="H17" i="73"/>
  <c r="J17" i="73"/>
  <c r="D16" i="73"/>
  <c r="D101" i="59"/>
  <c r="H43" i="34"/>
  <c r="H18" i="73"/>
  <c r="J18" i="73"/>
  <c r="E16" i="73"/>
  <c r="C43" i="34"/>
  <c r="Q7" i="34"/>
  <c r="Q43" i="34" s="1"/>
  <c r="I16" i="73" l="1"/>
  <c r="K16" i="73"/>
  <c r="E101" i="59"/>
  <c r="I18" i="73"/>
  <c r="K18" i="73"/>
  <c r="D22" i="73"/>
  <c r="F4" i="73"/>
  <c r="H16" i="73"/>
  <c r="J16" i="73"/>
  <c r="B43" i="34"/>
  <c r="P7" i="34"/>
  <c r="P43" i="34" s="1"/>
  <c r="H4" i="73" l="1"/>
  <c r="I4" i="73"/>
  <c r="E22" i="73"/>
  <c r="F5" i="73"/>
  <c r="H22" i="73"/>
  <c r="J22" i="73"/>
  <c r="H5" i="73" l="1"/>
  <c r="I5" i="73"/>
  <c r="K22" i="73"/>
  <c r="I22" i="73"/>
</calcChain>
</file>

<file path=xl/comments1.xml><?xml version="1.0" encoding="utf-8"?>
<comments xmlns="http://schemas.openxmlformats.org/spreadsheetml/2006/main">
  <authors>
    <author>Horticulture</author>
    <author xml:space="preserve">HORTICULTURE </author>
    <author>HP</author>
  </authors>
  <commentList>
    <comment ref="N7" authorId="0">
      <text>
        <r>
          <rPr>
            <b/>
            <sz val="8"/>
            <color indexed="81"/>
            <rFont val="Tahoma"/>
            <family val="2"/>
          </rPr>
          <t>Horticulture
Pervious data now
Not given</t>
        </r>
      </text>
    </comment>
    <comment ref="Q14" authorId="1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Rev. Fig.recd.vide Letter No. 10171/SA Dated 26/08/2013</t>
        </r>
      </text>
    </comment>
    <comment ref="U19" authorId="2">
      <text>
        <r>
          <rPr>
            <b/>
            <sz val="9"/>
            <color indexed="81"/>
            <rFont val="Tahoma"/>
            <family val="2"/>
          </rPr>
          <t xml:space="preserve">Production using 14-15(3rd est) productivity-14.20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4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Estimate. Therefore 2013-14 1st Est. repeated.</t>
        </r>
      </text>
    </comment>
  </commentList>
</comments>
</file>

<file path=xl/comments2.xml><?xml version="1.0" encoding="utf-8"?>
<comments xmlns="http://schemas.openxmlformats.org/spreadsheetml/2006/main">
  <authors>
    <author>Horticulture</author>
  </authors>
  <commentList>
    <comment ref="E1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Mandarin Orange's as Nomilal </t>
        </r>
      </text>
    </comment>
  </commentList>
</comments>
</file>

<file path=xl/comments3.xml><?xml version="1.0" encoding="utf-8"?>
<comments xmlns="http://schemas.openxmlformats.org/spreadsheetml/2006/main">
  <authors>
    <author>hp</author>
    <author>Horticulture</author>
  </authors>
  <commentList>
    <comment ref="AC4" authorId="0">
      <text>
        <r>
          <rPr>
            <sz val="9"/>
            <color indexed="81"/>
            <rFont val="Tahoma"/>
            <family val="2"/>
          </rPr>
          <t xml:space="preserve">2014-15(3rs est repeated. (As informed by the state)
</t>
        </r>
      </text>
    </comment>
    <comment ref="AS4" authorId="0">
      <text>
        <r>
          <rPr>
            <sz val="9"/>
            <color indexed="81"/>
            <rFont val="Tahoma"/>
            <family val="2"/>
          </rPr>
          <t xml:space="preserve">2013-14 est repeated
</t>
        </r>
      </text>
    </comment>
    <comment ref="AC22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Production using  yield-12.1
</t>
        </r>
      </text>
    </comment>
    <comment ref="AL27" authorId="1">
      <text>
        <r>
          <rPr>
            <b/>
            <sz val="8"/>
            <color indexed="81"/>
            <rFont val="Tahoma"/>
            <family val="2"/>
          </rPr>
          <t>Horticulture:
Pumpkin data is given but not given 2013-14 final</t>
        </r>
      </text>
    </comment>
    <comment ref="Y28" authorId="1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Estimates. Therefore 2013-14 1st Estimates repeated.</t>
        </r>
      </text>
    </comment>
    <comment ref="AR33" authorId="0">
      <text>
        <r>
          <rPr>
            <sz val="9"/>
            <color indexed="81"/>
            <rFont val="Tahoma"/>
            <family val="2"/>
          </rPr>
          <t xml:space="preserve">
2013-14 est repeated</t>
        </r>
      </text>
    </comment>
  </commentList>
</comments>
</file>

<file path=xl/comments4.xml><?xml version="1.0" encoding="utf-8"?>
<comments xmlns="http://schemas.openxmlformats.org/spreadsheetml/2006/main">
  <authors>
    <author>Horticulture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Only area given by the state. Therefore 2013-14 1st Est.figures repeated.</t>
        </r>
      </text>
    </comment>
  </commentList>
</comments>
</file>

<file path=xl/sharedStrings.xml><?xml version="1.0" encoding="utf-8"?>
<sst xmlns="http://schemas.openxmlformats.org/spreadsheetml/2006/main" count="861" uniqueCount="269">
  <si>
    <t>APPLE</t>
  </si>
  <si>
    <t>BANANA</t>
  </si>
  <si>
    <t>GUAVA</t>
  </si>
  <si>
    <t>LITCHI</t>
  </si>
  <si>
    <t>MANGO</t>
  </si>
  <si>
    <t>PAPAYA</t>
  </si>
  <si>
    <t>PINEAPPLE</t>
  </si>
  <si>
    <t>SAPOTA</t>
  </si>
  <si>
    <t>OTHERS</t>
  </si>
  <si>
    <t>TOTAL</t>
  </si>
  <si>
    <t>P</t>
  </si>
  <si>
    <t>ANDAMAN NICOBAR</t>
  </si>
  <si>
    <t>ANDHRA PRADESH</t>
  </si>
  <si>
    <t>ARUNACHAL PRADESH</t>
  </si>
  <si>
    <t>ASSAM</t>
  </si>
  <si>
    <t>BIHAR</t>
  </si>
  <si>
    <t>D &amp; N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</si>
  <si>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</si>
  <si>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</si>
  <si>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</si>
  <si>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</si>
  <si>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</si>
  <si>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</si>
  <si>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</si>
  <si>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</si>
  <si>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</si>
  <si>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</si>
  <si>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</si>
  <si>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</si>
  <si>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</si>
  <si>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</si>
  <si>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</si>
  <si>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</si>
  <si>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</si>
  <si>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</si>
  <si>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</si>
  <si>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</si>
  <si>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</si>
  <si>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</si>
  <si>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WEST BENGAL</t>
  </si>
  <si>
    <t>BRINJAL</t>
  </si>
  <si>
    <t>CABBAGE</t>
  </si>
  <si>
    <t>PEAS</t>
  </si>
  <si>
    <t>TOMATO</t>
  </si>
  <si>
    <t>ONION</t>
  </si>
  <si>
    <t>POTATO</t>
  </si>
  <si>
    <t>TAPIOCA</t>
  </si>
  <si>
    <t>A</t>
  </si>
  <si>
    <t>Cashewnut</t>
  </si>
  <si>
    <t>Arecanut</t>
  </si>
  <si>
    <t>Cocoa</t>
  </si>
  <si>
    <t>Coconut</t>
  </si>
  <si>
    <t>Total</t>
  </si>
  <si>
    <t>ANDAMAN &amp; NICOBAR</t>
  </si>
  <si>
    <t>CHHATTISGARH</t>
  </si>
  <si>
    <t>LAKSHADWEEP</t>
  </si>
  <si>
    <t>TAMILNADU</t>
  </si>
  <si>
    <t>FRUITS</t>
  </si>
  <si>
    <t>FLOWERS</t>
  </si>
  <si>
    <t>SPICES</t>
  </si>
  <si>
    <t>LOOSE</t>
  </si>
  <si>
    <t>CUT</t>
  </si>
  <si>
    <t>Crops</t>
  </si>
  <si>
    <t>Fruits</t>
  </si>
  <si>
    <t>Mango</t>
  </si>
  <si>
    <t>Apple</t>
  </si>
  <si>
    <t>Banana</t>
  </si>
  <si>
    <t>Guava</t>
  </si>
  <si>
    <t>Grapes</t>
  </si>
  <si>
    <t>Papaya</t>
  </si>
  <si>
    <t>Pineapple</t>
  </si>
  <si>
    <t>Pomegranate</t>
  </si>
  <si>
    <t>Sapota</t>
  </si>
  <si>
    <t>Others</t>
  </si>
  <si>
    <t>Vegetables</t>
  </si>
  <si>
    <t>Potato</t>
  </si>
  <si>
    <t>Onion</t>
  </si>
  <si>
    <t>Tomato</t>
  </si>
  <si>
    <t>Brinjal</t>
  </si>
  <si>
    <t>Cabbage</t>
  </si>
  <si>
    <t>Cauliflower</t>
  </si>
  <si>
    <t>Peas</t>
  </si>
  <si>
    <t>Tapioca</t>
  </si>
  <si>
    <t>Sweet Potato</t>
  </si>
  <si>
    <t>Aromatic</t>
  </si>
  <si>
    <t>Flowers Loose</t>
  </si>
  <si>
    <t>Plantation Crops</t>
  </si>
  <si>
    <t>Spices</t>
  </si>
  <si>
    <t>UTTARAKHAND</t>
  </si>
  <si>
    <t>ALMOND</t>
  </si>
  <si>
    <t>BAEL</t>
  </si>
  <si>
    <t>BER</t>
  </si>
  <si>
    <t>CUSTARD APPLE</t>
  </si>
  <si>
    <t>GRAPES</t>
  </si>
  <si>
    <t>JACK FRUIT</t>
  </si>
  <si>
    <t>KIWI</t>
  </si>
  <si>
    <t>PASSION FRUIT</t>
  </si>
  <si>
    <t>TOTAL CITRUS</t>
  </si>
  <si>
    <t>PEACH</t>
  </si>
  <si>
    <t>PEAR</t>
  </si>
  <si>
    <t>PICANUT</t>
  </si>
  <si>
    <t>PLUM</t>
  </si>
  <si>
    <t>POMEGRANATE</t>
  </si>
  <si>
    <t>STRAWBERRY</t>
  </si>
  <si>
    <t>WALNUT</t>
  </si>
  <si>
    <t>OTHER FRUITS</t>
  </si>
  <si>
    <t>TOTAL FRUITS</t>
  </si>
  <si>
    <t>LIME/LEMON</t>
  </si>
  <si>
    <t>OTHER CITRUS</t>
  </si>
  <si>
    <t>ARUNCHAL PRADESH</t>
  </si>
  <si>
    <t>BEANS</t>
  </si>
  <si>
    <t>CAPSICUM</t>
  </si>
  <si>
    <t>CARROT</t>
  </si>
  <si>
    <t>CAULIFLOWER</t>
  </si>
  <si>
    <t>CUCUMBER</t>
  </si>
  <si>
    <t>MUSKMELON</t>
  </si>
  <si>
    <t>RADISH</t>
  </si>
  <si>
    <t>SITAPHAL/PUMPKIN</t>
  </si>
  <si>
    <t>SWEET POTATO</t>
  </si>
  <si>
    <t>WATERMELON</t>
  </si>
  <si>
    <t>ARECANUT</t>
  </si>
  <si>
    <t>CASHEWNUT</t>
  </si>
  <si>
    <t>COCOA</t>
  </si>
  <si>
    <t>COCONUT</t>
  </si>
  <si>
    <t>Pepper</t>
  </si>
  <si>
    <t>Ginger</t>
  </si>
  <si>
    <t>Turmeric</t>
  </si>
  <si>
    <t>Garlic</t>
  </si>
  <si>
    <t>Cardamom</t>
  </si>
  <si>
    <t>Coriander</t>
  </si>
  <si>
    <t>Cumin</t>
  </si>
  <si>
    <t>Fennel</t>
  </si>
  <si>
    <t>Ajwan</t>
  </si>
  <si>
    <t>Nutmeg</t>
  </si>
  <si>
    <t>Clove</t>
  </si>
  <si>
    <t>Tamarind</t>
  </si>
  <si>
    <t>Ber</t>
  </si>
  <si>
    <t xml:space="preserve">Citrus </t>
  </si>
  <si>
    <t>(i)   Lime/Lemon</t>
  </si>
  <si>
    <t>(iv) Others</t>
  </si>
  <si>
    <t>Citrus Total (i to iv)</t>
  </si>
  <si>
    <t>Kiwi</t>
  </si>
  <si>
    <t>Litchi</t>
  </si>
  <si>
    <t>Peach</t>
  </si>
  <si>
    <t>Pear</t>
  </si>
  <si>
    <t>Plum</t>
  </si>
  <si>
    <t>Walnut</t>
  </si>
  <si>
    <t>Almond</t>
  </si>
  <si>
    <t>Total Fruits</t>
  </si>
  <si>
    <t>Beans</t>
  </si>
  <si>
    <t>Capsicum</t>
  </si>
  <si>
    <t>Carrot</t>
  </si>
  <si>
    <t>Cucumber</t>
  </si>
  <si>
    <t>Muskmelon</t>
  </si>
  <si>
    <t>Radish</t>
  </si>
  <si>
    <t>Watermelon</t>
  </si>
  <si>
    <t>Chillies (Dried)</t>
  </si>
  <si>
    <t>Cinnamon/Tejpata</t>
  </si>
  <si>
    <t>Vanilla</t>
  </si>
  <si>
    <t xml:space="preserve">KARNATAKA </t>
  </si>
  <si>
    <t>(ii) Mandarin</t>
  </si>
  <si>
    <t>(iii) Sweet Orange(  Mosambi)</t>
  </si>
  <si>
    <t>Jackfruit</t>
  </si>
  <si>
    <t>Custardapple</t>
  </si>
  <si>
    <t>Celery,Dill &amp; Poppy</t>
  </si>
  <si>
    <t>PUDUCHERRY</t>
  </si>
  <si>
    <t>Spices : Directorate of  Arecanut &amp; Spices Development</t>
  </si>
  <si>
    <t>SWEET ORANGE(MALTA , MOSAMBI)</t>
  </si>
  <si>
    <t>Fruits, Vegetables, Flowers, Aromatic/Medicinal Plants  - State Directorates of Horticulture</t>
  </si>
  <si>
    <t>Chillies</t>
  </si>
  <si>
    <t xml:space="preserve">Dill / Poppy /Celery </t>
  </si>
  <si>
    <t>Cinnamon /Tejpat</t>
  </si>
  <si>
    <t>Saffron / Vanilla</t>
  </si>
  <si>
    <t>BITTERGOURD</t>
  </si>
  <si>
    <t>BOTTLEGOURD</t>
  </si>
  <si>
    <t>ODISHA</t>
  </si>
  <si>
    <t>Area and Production of Horticulture Crops - All India</t>
  </si>
  <si>
    <t>Passion Fruit</t>
  </si>
  <si>
    <t xml:space="preserve">Source: </t>
  </si>
  <si>
    <t>Coconut : State Directorate of Horticulture.</t>
  </si>
  <si>
    <t>Arecanut : Directorate of Arecanut &amp; Spices Development (DASD)</t>
  </si>
  <si>
    <t>Cocoa : Directorate of Cashewnut &amp; Cocoa Development (DCCD)</t>
  </si>
  <si>
    <t>Cashewnt : Directorate of Cashewnut &amp; Cocoa Development (DCCD) for all States except A&amp;N, Gujrat and Mizoram.</t>
  </si>
  <si>
    <t>CHHATISGARH</t>
  </si>
  <si>
    <t>Bittergourd</t>
  </si>
  <si>
    <t>Bottlegourd</t>
  </si>
  <si>
    <t xml:space="preserve">CHHATTISGARH </t>
  </si>
  <si>
    <t xml:space="preserve">RAJASTHAN </t>
  </si>
  <si>
    <t xml:space="preserve">STATES/UTs </t>
  </si>
  <si>
    <t xml:space="preserve">Area </t>
  </si>
  <si>
    <t>Production</t>
  </si>
  <si>
    <t>Area in '000 Ha</t>
  </si>
  <si>
    <t>Production in '000 MT</t>
  </si>
  <si>
    <t>Plantation Crops:- Coconut (State Directorate of Horticulture), Arecanut (Directorate Arecanut &amp; Spice Dev), Cashew &amp; Cocoa (Directorate of Cashew  &amp; Cocoa Development) and State Directorate of Horticulture.</t>
  </si>
  <si>
    <t xml:space="preserve">ARUNACHAL PRADESH </t>
  </si>
  <si>
    <t>AONLA/
GOOSEBERRY</t>
  </si>
  <si>
    <t>OKRA/LADYFINGER</t>
  </si>
  <si>
    <t>PARWAL/
POINTED GOURD</t>
  </si>
  <si>
    <t>Fenugreek</t>
  </si>
  <si>
    <t>VEGETABLES</t>
  </si>
  <si>
    <t>PLANTATION CROPS</t>
  </si>
  <si>
    <t>Aonla/Gooseberry</t>
  </si>
  <si>
    <t>Okra/Ladyfinger</t>
  </si>
  <si>
    <t xml:space="preserve">JAMMU &amp; KASHMIR </t>
  </si>
  <si>
    <t>STATE/UTs</t>
  </si>
  <si>
    <t>Flowers Cut</t>
  </si>
  <si>
    <t>Picanut</t>
  </si>
  <si>
    <t>Strawberry</t>
  </si>
  <si>
    <t>Mushroom</t>
  </si>
  <si>
    <t>Chillies (Green)</t>
  </si>
  <si>
    <t>Elephant Foot Yam</t>
  </si>
  <si>
    <t>Parwal/Pointed gourd</t>
  </si>
  <si>
    <t>Pumpkin/Sitaphal/Kaddu</t>
  </si>
  <si>
    <t>Honey</t>
  </si>
  <si>
    <t>HONEY</t>
  </si>
  <si>
    <t>CHILLIES 
(GREEN)</t>
  </si>
  <si>
    <t>ELEPHANT 
FOOT YAM</t>
  </si>
  <si>
    <t>MUSHROOM</t>
  </si>
  <si>
    <t>TELANGANA</t>
  </si>
  <si>
    <t>MANDARIN(M.ORANGE,         KINNOW,ORANGE)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</si>
  <si>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</si>
  <si>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2013-14 </t>
  </si>
  <si>
    <t>(Final)</t>
  </si>
  <si>
    <t>Total Vegetables</t>
  </si>
  <si>
    <t>Total Flowers</t>
  </si>
  <si>
    <t>Total Plantation</t>
  </si>
  <si>
    <t>Total Spices</t>
  </si>
  <si>
    <t>2014-15</t>
  </si>
  <si>
    <t>Area</t>
  </si>
  <si>
    <t>State/UT</t>
  </si>
  <si>
    <t>Anthurium</t>
  </si>
  <si>
    <t>Carnation</t>
  </si>
  <si>
    <t>Chrysanthemum</t>
  </si>
  <si>
    <t>Gerbera</t>
  </si>
  <si>
    <t>Gladiolus</t>
  </si>
  <si>
    <t>Jasmine</t>
  </si>
  <si>
    <t xml:space="preserve">Marigold            </t>
  </si>
  <si>
    <t xml:space="preserve">Orchids             </t>
  </si>
  <si>
    <t xml:space="preserve">Rose                </t>
  </si>
  <si>
    <t>Tube Rose</t>
  </si>
  <si>
    <t>Tulip</t>
  </si>
  <si>
    <t>Other Flowers</t>
  </si>
  <si>
    <t>Loose</t>
  </si>
  <si>
    <t>Cut</t>
  </si>
  <si>
    <t>Note: From 2013-14 , Cut Flower Production is being given in '000 MT as compared to earlier reporting in Lakh Numbers.</t>
  </si>
  <si>
    <t>AROMATIC</t>
  </si>
  <si>
    <t>2015-16</t>
  </si>
  <si>
    <t>(Area in ‘000 Ha; Production in ‘000 MT)</t>
  </si>
  <si>
    <t xml:space="preserve">I </t>
  </si>
  <si>
    <t xml:space="preserve">II </t>
  </si>
  <si>
    <t xml:space="preserve">III </t>
  </si>
  <si>
    <t>Final</t>
  </si>
  <si>
    <t>First Estimate</t>
  </si>
  <si>
    <t>ALL India</t>
  </si>
  <si>
    <t>2013-14 (Final)</t>
  </si>
  <si>
    <t>2013-14</t>
  </si>
  <si>
    <t>% change of final estimates of 2014-15 w.r.t. 2013-14</t>
  </si>
  <si>
    <r>
      <t>% change of 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 xml:space="preserve"> est. of 2015-16 w.r.t. 2014-15 final estimate</t>
    </r>
  </si>
  <si>
    <t>(Area in ‘000 Hectare)</t>
  </si>
  <si>
    <t>(Production in ‘000 MT)</t>
  </si>
  <si>
    <t>Major category of Hort. Crops</t>
  </si>
  <si>
    <t>Prod.</t>
  </si>
  <si>
    <t>Flowers</t>
  </si>
  <si>
    <t>First Adv. Est.</t>
  </si>
  <si>
    <t>% Change in 2014-15 (Final) over 2013-14</t>
  </si>
  <si>
    <t>% Change in 2015-16 (First Adv. Est) over 2014-15 (Final)</t>
  </si>
  <si>
    <t>Area and Production of Horticulture Crops 2014-15</t>
  </si>
  <si>
    <t>Note: Area in '000 Ha</t>
  </si>
  <si>
    <t xml:space="preserve">Cut flowers in Lakh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</si>
</sst>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2" formatCode="0.0"/>
    <numFmt numFmtId="173" formatCode="0.000"/>
  </numFmts>
  <fonts count="5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u/>
      <sz val="12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u/>
      <sz val="14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rgb="FFFF0000"/>
      <name val="Calibri"/>
      <family val="2"/>
    </font>
    <font>
      <b/>
      <u/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2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10">
    <xf numFmtId="0" fontId="0" fillId="0" borderId="0" xfId="0"/>
    <xf numFmtId="172" fontId="39" fillId="25" borderId="10" xfId="38" applyNumberFormat="1" applyFont="1" applyFill="1" applyBorder="1"/>
    <xf numFmtId="2" fontId="39" fillId="25" borderId="10" xfId="38" applyNumberFormat="1" applyFont="1" applyFill="1" applyBorder="1" applyAlignment="1">
      <alignment horizontal="center"/>
    </xf>
    <xf numFmtId="2" fontId="39" fillId="25" borderId="10" xfId="38" applyNumberFormat="1" applyFont="1" applyFill="1" applyBorder="1"/>
    <xf numFmtId="2" fontId="39" fillId="25" borderId="10" xfId="63" applyNumberFormat="1" applyFont="1" applyFill="1" applyBorder="1"/>
    <xf numFmtId="2" fontId="24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2" fontId="40" fillId="25" borderId="10" xfId="0" applyNumberFormat="1" applyFont="1" applyFill="1" applyBorder="1"/>
    <xf numFmtId="2" fontId="40" fillId="25" borderId="10" xfId="0" applyNumberFormat="1" applyFont="1" applyFill="1" applyBorder="1" applyAlignment="1">
      <alignment horizontal="right"/>
    </xf>
    <xf numFmtId="1" fontId="41" fillId="0" borderId="0" xfId="38" applyNumberFormat="1" applyFont="1" applyBorder="1"/>
    <xf numFmtId="1" fontId="42" fillId="0" borderId="0" xfId="38" applyNumberFormat="1" applyFont="1" applyBorder="1" applyAlignment="1"/>
    <xf numFmtId="1" fontId="41" fillId="0" borderId="0" xfId="38" applyNumberFormat="1" applyFont="1"/>
    <xf numFmtId="1" fontId="43" fillId="24" borderId="0" xfId="58" applyNumberFormat="1" applyFont="1" applyFill="1" applyBorder="1" applyAlignment="1">
      <alignment vertical="center"/>
    </xf>
    <xf numFmtId="1" fontId="43" fillId="0" borderId="0" xfId="38" applyNumberFormat="1" applyFont="1" applyAlignment="1">
      <alignment vertical="center"/>
    </xf>
    <xf numFmtId="2" fontId="24" fillId="25" borderId="0" xfId="0" applyNumberFormat="1" applyFont="1" applyFill="1"/>
    <xf numFmtId="2" fontId="23" fillId="25" borderId="10" xfId="38" applyNumberFormat="1" applyFont="1" applyFill="1" applyBorder="1" applyAlignment="1">
      <alignment horizontal="center"/>
    </xf>
    <xf numFmtId="2" fontId="23" fillId="25" borderId="10" xfId="38" applyNumberFormat="1" applyFont="1" applyFill="1" applyBorder="1"/>
    <xf numFmtId="2" fontId="23" fillId="25" borderId="10" xfId="0" applyNumberFormat="1" applyFont="1" applyFill="1" applyBorder="1" applyAlignment="1">
      <alignment horizontal="right"/>
    </xf>
    <xf numFmtId="2" fontId="23" fillId="25" borderId="10" xfId="50" applyNumberFormat="1" applyFont="1" applyFill="1" applyBorder="1"/>
    <xf numFmtId="2" fontId="44" fillId="25" borderId="10" xfId="0" applyNumberFormat="1" applyFont="1" applyFill="1" applyBorder="1" applyAlignment="1">
      <alignment horizontal="right"/>
    </xf>
    <xf numFmtId="2" fontId="24" fillId="25" borderId="0" xfId="0" applyNumberFormat="1" applyFont="1" applyFill="1" applyAlignment="1">
      <alignment horizontal="right"/>
    </xf>
    <xf numFmtId="2" fontId="23" fillId="25" borderId="10" xfId="58" applyNumberFormat="1" applyFont="1" applyFill="1" applyBorder="1" applyAlignment="1"/>
    <xf numFmtId="2" fontId="23" fillId="25" borderId="0" xfId="0" applyNumberFormat="1" applyFont="1" applyFill="1" applyBorder="1"/>
    <xf numFmtId="2" fontId="40" fillId="25" borderId="0" xfId="0" applyNumberFormat="1" applyFont="1" applyFill="1"/>
    <xf numFmtId="2" fontId="40" fillId="25" borderId="0" xfId="0" applyNumberFormat="1" applyFont="1" applyFill="1" applyBorder="1"/>
    <xf numFmtId="2" fontId="39" fillId="25" borderId="10" xfId="0" applyNumberFormat="1" applyFont="1" applyFill="1" applyBorder="1"/>
    <xf numFmtId="2" fontId="39" fillId="25" borderId="10" xfId="50" applyNumberFormat="1" applyFont="1" applyFill="1" applyBorder="1"/>
    <xf numFmtId="2" fontId="44" fillId="25" borderId="10" xfId="0" applyNumberFormat="1" applyFont="1" applyFill="1" applyBorder="1"/>
    <xf numFmtId="0" fontId="45" fillId="26" borderId="11" xfId="0" applyFont="1" applyFill="1" applyBorder="1" applyAlignment="1" applyProtection="1">
      <alignment vertical="center" wrapText="1" readingOrder="1"/>
      <protection locked="0"/>
    </xf>
    <xf numFmtId="0" fontId="44" fillId="25" borderId="0" xfId="0" applyFont="1" applyFill="1"/>
    <xf numFmtId="0" fontId="45" fillId="26" borderId="12" xfId="0" applyFont="1" applyFill="1" applyBorder="1" applyAlignment="1" applyProtection="1">
      <alignment vertical="center" wrapText="1" readingOrder="1"/>
      <protection locked="0"/>
    </xf>
    <xf numFmtId="0" fontId="45" fillId="26" borderId="13" xfId="0" applyFont="1" applyFill="1" applyBorder="1" applyAlignment="1" applyProtection="1">
      <alignment horizontal="center" vertical="top" wrapText="1" readingOrder="1"/>
      <protection locked="0"/>
    </xf>
    <xf numFmtId="0" fontId="44" fillId="26" borderId="12" xfId="0" applyFont="1" applyFill="1" applyBorder="1" applyAlignment="1" applyProtection="1">
      <alignment vertical="top" wrapText="1"/>
      <protection locked="0"/>
    </xf>
    <xf numFmtId="0" fontId="44" fillId="25" borderId="10" xfId="0" applyFont="1" applyFill="1" applyBorder="1" applyAlignment="1" applyProtection="1">
      <alignment vertical="top" wrapText="1"/>
      <protection locked="0"/>
    </xf>
    <xf numFmtId="172" fontId="46" fillId="25" borderId="10" xfId="38" applyNumberFormat="1" applyFont="1" applyFill="1" applyBorder="1"/>
    <xf numFmtId="2" fontId="47" fillId="25" borderId="13" xfId="0" applyNumberFormat="1" applyFont="1" applyFill="1" applyBorder="1" applyAlignment="1" applyProtection="1">
      <alignment horizontal="right" vertical="top" wrapText="1" readingOrder="1"/>
      <protection locked="0"/>
    </xf>
    <xf numFmtId="2" fontId="47" fillId="25" borderId="14" xfId="0" applyNumberFormat="1" applyFont="1" applyFill="1" applyBorder="1" applyAlignment="1" applyProtection="1">
      <alignment horizontal="right" vertical="top" wrapText="1" readingOrder="1"/>
      <protection locked="0"/>
    </xf>
    <xf numFmtId="2" fontId="44" fillId="25" borderId="10" xfId="0" applyNumberFormat="1" applyFont="1" applyFill="1" applyBorder="1" applyAlignment="1" applyProtection="1">
      <alignment vertical="top" wrapText="1"/>
      <protection locked="0"/>
    </xf>
    <xf numFmtId="2" fontId="47" fillId="25" borderId="15" xfId="0" applyNumberFormat="1" applyFont="1" applyFill="1" applyBorder="1" applyAlignment="1" applyProtection="1">
      <alignment horizontal="right" vertical="top" wrapText="1" readingOrder="1"/>
      <protection locked="0"/>
    </xf>
    <xf numFmtId="2" fontId="47" fillId="25" borderId="14" xfId="0" applyNumberFormat="1" applyFont="1" applyFill="1" applyBorder="1" applyAlignment="1" applyProtection="1">
      <alignment vertical="top" wrapText="1" readingOrder="1"/>
      <protection locked="0"/>
    </xf>
    <xf numFmtId="2" fontId="47" fillId="25" borderId="10" xfId="0" applyNumberFormat="1" applyFont="1" applyFill="1" applyBorder="1" applyAlignment="1" applyProtection="1">
      <alignment horizontal="right" vertical="top" wrapText="1" readingOrder="1"/>
      <protection locked="0"/>
    </xf>
    <xf numFmtId="2" fontId="47" fillId="26" borderId="10" xfId="0" applyNumberFormat="1" applyFont="1" applyFill="1" applyBorder="1" applyAlignment="1" applyProtection="1">
      <alignment horizontal="right" vertical="top" wrapText="1" readingOrder="1"/>
      <protection locked="0"/>
    </xf>
    <xf numFmtId="2" fontId="47" fillId="25" borderId="12" xfId="0" applyNumberFormat="1" applyFont="1" applyFill="1" applyBorder="1" applyAlignment="1" applyProtection="1">
      <alignment horizontal="right" vertical="top" wrapText="1" readingOrder="1"/>
      <protection locked="0"/>
    </xf>
    <xf numFmtId="2" fontId="47" fillId="25" borderId="16" xfId="0" applyNumberFormat="1" applyFont="1" applyFill="1" applyBorder="1" applyAlignment="1" applyProtection="1">
      <alignment horizontal="right" vertical="top" wrapText="1" readingOrder="1"/>
      <protection locked="0"/>
    </xf>
    <xf numFmtId="172" fontId="46" fillId="25" borderId="10" xfId="63" applyNumberFormat="1" applyFont="1" applyFill="1" applyBorder="1"/>
    <xf numFmtId="172" fontId="46" fillId="25" borderId="10" xfId="58" applyNumberFormat="1" applyFont="1" applyFill="1" applyBorder="1" applyAlignment="1"/>
    <xf numFmtId="0" fontId="45" fillId="26" borderId="13" xfId="0" applyFont="1" applyFill="1" applyBorder="1" applyAlignment="1" applyProtection="1">
      <alignment vertical="top" wrapText="1" readingOrder="1"/>
      <protection locked="0"/>
    </xf>
    <xf numFmtId="2" fontId="45" fillId="26" borderId="13" xfId="0" applyNumberFormat="1" applyFont="1" applyFill="1" applyBorder="1" applyAlignment="1" applyProtection="1">
      <alignment horizontal="right" vertical="top" wrapText="1" readingOrder="1"/>
      <protection locked="0"/>
    </xf>
    <xf numFmtId="0" fontId="47" fillId="25" borderId="13" xfId="0" applyFont="1" applyFill="1" applyBorder="1" applyAlignment="1" applyProtection="1">
      <alignment horizontal="right" vertical="top" wrapText="1" readingOrder="1"/>
      <protection locked="0"/>
    </xf>
    <xf numFmtId="172" fontId="39" fillId="25" borderId="10" xfId="55" applyNumberFormat="1" applyFont="1" applyFill="1" applyBorder="1"/>
    <xf numFmtId="172" fontId="46" fillId="25" borderId="10" xfId="55" applyNumberFormat="1" applyFont="1" applyFill="1" applyBorder="1"/>
    <xf numFmtId="2" fontId="23" fillId="25" borderId="10" xfId="0" applyNumberFormat="1" applyFont="1" applyFill="1" applyBorder="1"/>
    <xf numFmtId="2" fontId="25" fillId="25" borderId="10" xfId="0" applyNumberFormat="1" applyFont="1" applyFill="1" applyBorder="1"/>
    <xf numFmtId="2" fontId="23" fillId="25" borderId="10" xfId="0" applyNumberFormat="1" applyFont="1" applyFill="1" applyBorder="1" applyAlignment="1"/>
    <xf numFmtId="2" fontId="39" fillId="25" borderId="17" xfId="0" applyNumberFormat="1" applyFont="1" applyFill="1" applyBorder="1" applyAlignment="1">
      <alignment horizontal="center"/>
    </xf>
    <xf numFmtId="1" fontId="41" fillId="25" borderId="0" xfId="38" applyNumberFormat="1" applyFont="1" applyFill="1"/>
    <xf numFmtId="0" fontId="45" fillId="26" borderId="15" xfId="0" applyFont="1" applyFill="1" applyBorder="1" applyAlignment="1" applyProtection="1">
      <alignment horizontal="center" vertical="top" wrapText="1" readingOrder="1"/>
      <protection locked="0"/>
    </xf>
    <xf numFmtId="0" fontId="45" fillId="26" borderId="10" xfId="0" applyFont="1" applyFill="1" applyBorder="1" applyAlignment="1" applyProtection="1">
      <alignment horizontal="center" vertical="top" wrapText="1" readingOrder="1"/>
      <protection locked="0"/>
    </xf>
    <xf numFmtId="0" fontId="45" fillId="26" borderId="15" xfId="0" applyFont="1" applyFill="1" applyBorder="1" applyAlignment="1" applyProtection="1">
      <alignment horizontal="center" vertical="top" wrapText="1" readingOrder="1"/>
      <protection locked="0"/>
    </xf>
    <xf numFmtId="0" fontId="45" fillId="26" borderId="10" xfId="0" applyFont="1" applyFill="1" applyBorder="1" applyAlignment="1" applyProtection="1">
      <alignment horizontal="center" vertical="top" wrapText="1" readingOrder="1"/>
      <protection locked="0"/>
    </xf>
    <xf numFmtId="2" fontId="23" fillId="25" borderId="10" xfId="0" applyNumberFormat="1" applyFont="1" applyFill="1" applyBorder="1" applyAlignment="1">
      <alignment horizontal="center"/>
    </xf>
    <xf numFmtId="2" fontId="39" fillId="25" borderId="10" xfId="0" applyNumberFormat="1" applyFont="1" applyFill="1" applyBorder="1" applyAlignment="1">
      <alignment horizontal="center"/>
    </xf>
    <xf numFmtId="2" fontId="39" fillId="25" borderId="10" xfId="0" applyNumberFormat="1" applyFont="1" applyFill="1" applyBorder="1" applyAlignment="1">
      <alignment horizontal="center" vertical="top"/>
    </xf>
    <xf numFmtId="2" fontId="23" fillId="25" borderId="10" xfId="63" applyNumberFormat="1" applyFont="1" applyFill="1" applyBorder="1"/>
    <xf numFmtId="2" fontId="27" fillId="25" borderId="10" xfId="0" applyNumberFormat="1" applyFont="1" applyFill="1" applyBorder="1"/>
    <xf numFmtId="2" fontId="39" fillId="25" borderId="10" xfId="58" applyNumberFormat="1" applyFont="1" applyFill="1" applyBorder="1" applyAlignment="1"/>
    <xf numFmtId="173" fontId="47" fillId="26" borderId="10" xfId="0" applyNumberFormat="1" applyFont="1" applyFill="1" applyBorder="1" applyAlignment="1" applyProtection="1">
      <alignment horizontal="right" vertical="top" wrapText="1" readingOrder="1"/>
      <protection locked="0"/>
    </xf>
    <xf numFmtId="2" fontId="39" fillId="25" borderId="10" xfId="58" applyNumberFormat="1" applyFont="1" applyFill="1" applyBorder="1" applyAlignment="1">
      <alignment wrapText="1"/>
    </xf>
    <xf numFmtId="2" fontId="39" fillId="25" borderId="18" xfId="58" applyNumberFormat="1" applyFont="1" applyFill="1" applyBorder="1" applyAlignment="1">
      <alignment horizontal="center" wrapText="1"/>
    </xf>
    <xf numFmtId="2" fontId="48" fillId="25" borderId="0" xfId="0" applyNumberFormat="1" applyFont="1" applyFill="1" applyAlignment="1"/>
    <xf numFmtId="2" fontId="39" fillId="25" borderId="10" xfId="58" applyNumberFormat="1" applyFont="1" applyFill="1" applyBorder="1" applyAlignment="1">
      <alignment horizontal="center" wrapText="1"/>
    </xf>
    <xf numFmtId="2" fontId="40" fillId="25" borderId="19" xfId="58" applyNumberFormat="1" applyFont="1" applyFill="1" applyBorder="1" applyAlignment="1">
      <alignment horizontal="center" wrapText="1"/>
    </xf>
    <xf numFmtId="2" fontId="40" fillId="25" borderId="17" xfId="58" applyNumberFormat="1" applyFont="1" applyFill="1" applyBorder="1" applyAlignment="1">
      <alignment horizontal="center" wrapText="1"/>
    </xf>
    <xf numFmtId="2" fontId="39" fillId="25" borderId="17" xfId="58" applyNumberFormat="1" applyFont="1" applyFill="1" applyBorder="1" applyAlignment="1">
      <alignment horizontal="center" wrapText="1"/>
    </xf>
    <xf numFmtId="2" fontId="39" fillId="25" borderId="19" xfId="58" applyNumberFormat="1" applyFont="1" applyFill="1" applyBorder="1" applyAlignment="1"/>
    <xf numFmtId="2" fontId="39" fillId="25" borderId="17" xfId="58" applyNumberFormat="1" applyFont="1" applyFill="1" applyBorder="1" applyAlignment="1"/>
    <xf numFmtId="2" fontId="40" fillId="25" borderId="10" xfId="0" applyNumberFormat="1" applyFont="1" applyFill="1" applyBorder="1" applyAlignment="1"/>
    <xf numFmtId="2" fontId="39" fillId="25" borderId="10" xfId="0" applyNumberFormat="1" applyFont="1" applyFill="1" applyBorder="1" applyAlignment="1"/>
    <xf numFmtId="2" fontId="49" fillId="25" borderId="0" xfId="58" applyNumberFormat="1" applyFont="1" applyFill="1" applyBorder="1" applyAlignment="1"/>
    <xf numFmtId="2" fontId="48" fillId="25" borderId="0" xfId="58" applyNumberFormat="1" applyFont="1" applyFill="1" applyBorder="1" applyAlignment="1"/>
    <xf numFmtId="2" fontId="48" fillId="25" borderId="0" xfId="58" applyNumberFormat="1" applyFont="1" applyFill="1" applyBorder="1" applyAlignment="1">
      <alignment wrapText="1"/>
    </xf>
    <xf numFmtId="2" fontId="49" fillId="25" borderId="0" xfId="58" applyNumberFormat="1" applyFont="1" applyFill="1" applyBorder="1" applyAlignment="1">
      <alignment horizontal="left"/>
    </xf>
    <xf numFmtId="2" fontId="50" fillId="25" borderId="10" xfId="0" applyNumberFormat="1" applyFont="1" applyFill="1" applyBorder="1" applyAlignment="1">
      <alignment horizontal="right"/>
    </xf>
    <xf numFmtId="2" fontId="23" fillId="25" borderId="0" xfId="0" applyNumberFormat="1" applyFont="1" applyFill="1"/>
    <xf numFmtId="2" fontId="26" fillId="25" borderId="0" xfId="0" applyNumberFormat="1" applyFont="1" applyFill="1"/>
    <xf numFmtId="2" fontId="23" fillId="25" borderId="0" xfId="0" applyNumberFormat="1" applyFont="1" applyFill="1" applyAlignment="1">
      <alignment horizontal="left"/>
    </xf>
    <xf numFmtId="2" fontId="23" fillId="25" borderId="0" xfId="0" applyNumberFormat="1" applyFont="1" applyFill="1" applyAlignment="1"/>
    <xf numFmtId="2" fontId="24" fillId="25" borderId="0" xfId="0" applyNumberFormat="1" applyFont="1" applyFill="1" applyAlignment="1">
      <alignment horizontal="left"/>
    </xf>
    <xf numFmtId="2" fontId="51" fillId="25" borderId="10" xfId="0" applyNumberFormat="1" applyFont="1" applyFill="1" applyBorder="1" applyAlignment="1">
      <alignment horizontal="center"/>
    </xf>
    <xf numFmtId="2" fontId="51" fillId="25" borderId="10" xfId="0" applyNumberFormat="1" applyFont="1" applyFill="1" applyBorder="1" applyAlignment="1">
      <alignment horizontal="right"/>
    </xf>
    <xf numFmtId="2" fontId="52" fillId="25" borderId="10" xfId="0" applyNumberFormat="1" applyFont="1" applyFill="1" applyBorder="1" applyAlignment="1">
      <alignment horizontal="right"/>
    </xf>
    <xf numFmtId="2" fontId="53" fillId="25" borderId="10" xfId="0" applyNumberFormat="1" applyFont="1" applyFill="1" applyBorder="1" applyAlignment="1">
      <alignment horizontal="right"/>
    </xf>
    <xf numFmtId="0" fontId="32" fillId="27" borderId="20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27" borderId="22" xfId="0" applyFont="1" applyFill="1" applyBorder="1" applyAlignment="1">
      <alignment horizontal="center" vertical="center" wrapText="1"/>
    </xf>
    <xf numFmtId="0" fontId="32" fillId="27" borderId="2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27" borderId="1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1" fontId="31" fillId="0" borderId="23" xfId="0" applyNumberFormat="1" applyFont="1" applyBorder="1" applyAlignment="1">
      <alignment horizontal="center" vertical="center"/>
    </xf>
    <xf numFmtId="1" fontId="31" fillId="0" borderId="22" xfId="0" applyNumberFormat="1" applyFont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center" wrapText="1"/>
    </xf>
    <xf numFmtId="172" fontId="34" fillId="0" borderId="23" xfId="0" applyNumberFormat="1" applyFont="1" applyBorder="1" applyAlignment="1">
      <alignment horizontal="center" vertical="center"/>
    </xf>
    <xf numFmtId="172" fontId="34" fillId="0" borderId="23" xfId="0" applyNumberFormat="1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wrapText="1"/>
    </xf>
    <xf numFmtId="0" fontId="55" fillId="0" borderId="23" xfId="0" applyFont="1" applyBorder="1" applyAlignment="1">
      <alignment wrapText="1"/>
    </xf>
    <xf numFmtId="0" fontId="55" fillId="0" borderId="22" xfId="0" applyFont="1" applyBorder="1" applyAlignment="1">
      <alignment horizontal="center" wrapText="1"/>
    </xf>
    <xf numFmtId="0" fontId="54" fillId="0" borderId="23" xfId="0" applyFont="1" applyBorder="1" applyAlignment="1">
      <alignment wrapText="1"/>
    </xf>
    <xf numFmtId="1" fontId="55" fillId="0" borderId="22" xfId="0" applyNumberFormat="1" applyFont="1" applyBorder="1" applyAlignment="1">
      <alignment horizontal="center" wrapText="1"/>
    </xf>
    <xf numFmtId="1" fontId="54" fillId="0" borderId="22" xfId="0" applyNumberFormat="1" applyFont="1" applyBorder="1" applyAlignment="1">
      <alignment horizontal="center" wrapText="1"/>
    </xf>
    <xf numFmtId="172" fontId="55" fillId="0" borderId="22" xfId="0" applyNumberFormat="1" applyFont="1" applyBorder="1" applyAlignment="1">
      <alignment horizontal="center"/>
    </xf>
    <xf numFmtId="172" fontId="31" fillId="0" borderId="22" xfId="0" applyNumberFormat="1" applyFont="1" applyBorder="1" applyAlignment="1">
      <alignment horizontal="right"/>
    </xf>
    <xf numFmtId="1" fontId="23" fillId="24" borderId="10" xfId="60" applyNumberFormat="1" applyFont="1" applyFill="1" applyBorder="1" applyAlignment="1"/>
    <xf numFmtId="1" fontId="26" fillId="24" borderId="10" xfId="60" applyNumberFormat="1" applyFont="1" applyFill="1" applyBorder="1" applyAlignment="1"/>
    <xf numFmtId="1" fontId="23" fillId="24" borderId="10" xfId="60" applyNumberFormat="1" applyFont="1" applyFill="1" applyBorder="1" applyAlignment="1">
      <alignment horizontal="center"/>
    </xf>
    <xf numFmtId="1" fontId="24" fillId="24" borderId="16" xfId="60" applyNumberFormat="1" applyFont="1" applyFill="1" applyBorder="1" applyAlignment="1"/>
    <xf numFmtId="1" fontId="24" fillId="0" borderId="16" xfId="38" applyNumberFormat="1" applyFont="1" applyBorder="1" applyAlignment="1"/>
    <xf numFmtId="1" fontId="24" fillId="0" borderId="10" xfId="38" applyNumberFormat="1" applyFont="1" applyBorder="1" applyAlignment="1"/>
    <xf numFmtId="1" fontId="24" fillId="24" borderId="10" xfId="60" applyNumberFormat="1" applyFont="1" applyFill="1" applyBorder="1" applyAlignment="1"/>
    <xf numFmtId="1" fontId="35" fillId="24" borderId="10" xfId="60" applyNumberFormat="1" applyFont="1" applyFill="1" applyBorder="1" applyAlignment="1"/>
    <xf numFmtId="1" fontId="23" fillId="0" borderId="10" xfId="38" applyNumberFormat="1" applyFont="1" applyBorder="1" applyAlignment="1"/>
    <xf numFmtId="1" fontId="24" fillId="25" borderId="10" xfId="60" applyNumberFormat="1" applyFont="1" applyFill="1" applyBorder="1" applyAlignment="1"/>
    <xf numFmtId="1" fontId="24" fillId="25" borderId="10" xfId="38" applyNumberFormat="1" applyFont="1" applyFill="1" applyBorder="1" applyAlignment="1"/>
    <xf numFmtId="1" fontId="24" fillId="24" borderId="10" xfId="60" applyNumberFormat="1" applyFont="1" applyFill="1" applyBorder="1" applyAlignment="1">
      <alignment horizontal="right"/>
    </xf>
    <xf numFmtId="1" fontId="26" fillId="24" borderId="10" xfId="60" applyNumberFormat="1" applyFont="1" applyFill="1" applyBorder="1" applyAlignment="1">
      <alignment horizontal="left"/>
    </xf>
    <xf numFmtId="1" fontId="36" fillId="24" borderId="10" xfId="60" applyNumberFormat="1" applyFont="1" applyFill="1" applyBorder="1" applyAlignment="1">
      <alignment horizontal="left"/>
    </xf>
    <xf numFmtId="1" fontId="36" fillId="24" borderId="10" xfId="60" applyNumberFormat="1" applyFont="1" applyFill="1" applyBorder="1" applyAlignment="1"/>
    <xf numFmtId="1" fontId="23" fillId="24" borderId="10" xfId="38" applyNumberFormat="1" applyFont="1" applyFill="1" applyBorder="1" applyAlignment="1">
      <alignment horizontal="left"/>
    </xf>
    <xf numFmtId="1" fontId="24" fillId="24" borderId="10" xfId="60" applyNumberFormat="1" applyFont="1" applyFill="1" applyBorder="1" applyAlignment="1">
      <alignment horizontal="left"/>
    </xf>
    <xf numFmtId="1" fontId="23" fillId="24" borderId="10" xfId="60" applyNumberFormat="1" applyFont="1" applyFill="1" applyBorder="1" applyAlignment="1">
      <alignment horizontal="left"/>
    </xf>
    <xf numFmtId="1" fontId="23" fillId="24" borderId="0" xfId="60" applyNumberFormat="1" applyFont="1" applyFill="1" applyBorder="1" applyAlignment="1">
      <alignment horizontal="left"/>
    </xf>
    <xf numFmtId="1" fontId="24" fillId="0" borderId="0" xfId="38" applyNumberFormat="1" applyFont="1" applyAlignment="1"/>
    <xf numFmtId="1" fontId="23" fillId="0" borderId="0" xfId="38" applyNumberFormat="1" applyFont="1" applyBorder="1" applyAlignment="1"/>
    <xf numFmtId="173" fontId="24" fillId="25" borderId="10" xfId="0" applyNumberFormat="1" applyFont="1" applyFill="1" applyBorder="1" applyAlignment="1">
      <alignment horizontal="right"/>
    </xf>
    <xf numFmtId="2" fontId="56" fillId="25" borderId="10" xfId="0" applyNumberFormat="1" applyFont="1" applyFill="1" applyBorder="1" applyAlignment="1">
      <alignment horizontal="right"/>
    </xf>
    <xf numFmtId="0" fontId="54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center" wrapText="1"/>
    </xf>
    <xf numFmtId="0" fontId="54" fillId="0" borderId="23" xfId="0" applyFont="1" applyBorder="1" applyAlignment="1">
      <alignment horizontal="center" wrapText="1"/>
    </xf>
    <xf numFmtId="2" fontId="23" fillId="0" borderId="10" xfId="0" applyNumberFormat="1" applyFont="1" applyFill="1" applyBorder="1" applyAlignment="1">
      <alignment horizontal="right"/>
    </xf>
    <xf numFmtId="2" fontId="23" fillId="25" borderId="0" xfId="0" applyNumberFormat="1" applyFont="1" applyFill="1" applyBorder="1" applyAlignment="1"/>
    <xf numFmtId="2" fontId="40" fillId="25" borderId="39" xfId="0" applyNumberFormat="1" applyFont="1" applyFill="1" applyBorder="1" applyAlignment="1">
      <alignment horizontal="center"/>
    </xf>
    <xf numFmtId="1" fontId="23" fillId="0" borderId="10" xfId="38" applyNumberFormat="1" applyFont="1" applyBorder="1" applyAlignment="1">
      <alignment horizontal="center" wrapText="1"/>
    </xf>
    <xf numFmtId="1" fontId="23" fillId="0" borderId="26" xfId="38" applyNumberFormat="1" applyFont="1" applyBorder="1" applyAlignment="1">
      <alignment horizontal="right"/>
    </xf>
    <xf numFmtId="1" fontId="23" fillId="0" borderId="0" xfId="38" applyNumberFormat="1" applyFont="1" applyBorder="1" applyAlignment="1">
      <alignment horizontal="right"/>
    </xf>
    <xf numFmtId="1" fontId="23" fillId="0" borderId="27" xfId="38" applyNumberFormat="1" applyFont="1" applyBorder="1" applyAlignment="1">
      <alignment horizontal="right"/>
    </xf>
    <xf numFmtId="1" fontId="23" fillId="0" borderId="28" xfId="38" applyNumberFormat="1" applyFont="1" applyBorder="1" applyAlignment="1">
      <alignment horizontal="right"/>
    </xf>
    <xf numFmtId="1" fontId="37" fillId="0" borderId="0" xfId="38" applyNumberFormat="1" applyFont="1" applyBorder="1" applyAlignment="1">
      <alignment horizontal="center" vertical="center"/>
    </xf>
    <xf numFmtId="1" fontId="23" fillId="0" borderId="10" xfId="38" applyNumberFormat="1" applyFont="1" applyBorder="1" applyAlignment="1">
      <alignment horizontal="center"/>
    </xf>
    <xf numFmtId="2" fontId="39" fillId="25" borderId="18" xfId="58" applyNumberFormat="1" applyFont="1" applyFill="1" applyBorder="1" applyAlignment="1">
      <alignment horizontal="center" wrapText="1"/>
    </xf>
    <xf numFmtId="2" fontId="39" fillId="25" borderId="10" xfId="58" applyNumberFormat="1" applyFont="1" applyFill="1" applyBorder="1" applyAlignment="1">
      <alignment horizontal="center" wrapText="1"/>
    </xf>
    <xf numFmtId="2" fontId="39" fillId="25" borderId="10" xfId="58" applyNumberFormat="1" applyFont="1" applyFill="1" applyBorder="1" applyAlignment="1">
      <alignment horizontal="center"/>
    </xf>
    <xf numFmtId="2" fontId="39" fillId="25" borderId="29" xfId="58" applyNumberFormat="1" applyFont="1" applyFill="1" applyBorder="1" applyAlignment="1">
      <alignment horizontal="center" wrapText="1"/>
    </xf>
    <xf numFmtId="2" fontId="57" fillId="25" borderId="0" xfId="0" applyNumberFormat="1" applyFont="1" applyFill="1" applyAlignment="1">
      <alignment horizontal="center"/>
    </xf>
    <xf numFmtId="2" fontId="49" fillId="25" borderId="0" xfId="0" applyNumberFormat="1" applyFont="1" applyFill="1" applyAlignment="1">
      <alignment horizontal="right"/>
    </xf>
    <xf numFmtId="2" fontId="49" fillId="25" borderId="28" xfId="0" applyNumberFormat="1" applyFont="1" applyFill="1" applyBorder="1" applyAlignment="1">
      <alignment horizontal="right"/>
    </xf>
    <xf numFmtId="2" fontId="49" fillId="25" borderId="0" xfId="58" applyNumberFormat="1" applyFont="1" applyFill="1" applyBorder="1" applyAlignment="1">
      <alignment horizontal="left"/>
    </xf>
    <xf numFmtId="2" fontId="39" fillId="25" borderId="18" xfId="58" applyNumberFormat="1" applyFont="1" applyFill="1" applyBorder="1" applyAlignment="1">
      <alignment horizontal="center"/>
    </xf>
    <xf numFmtId="2" fontId="23" fillId="25" borderId="10" xfId="0" applyNumberFormat="1" applyFont="1" applyFill="1" applyBorder="1" applyAlignment="1">
      <alignment horizontal="center"/>
    </xf>
    <xf numFmtId="2" fontId="23" fillId="25" borderId="29" xfId="0" applyNumberFormat="1" applyFont="1" applyFill="1" applyBorder="1" applyAlignment="1">
      <alignment horizontal="center"/>
    </xf>
    <xf numFmtId="2" fontId="23" fillId="25" borderId="18" xfId="0" applyNumberFormat="1" applyFont="1" applyFill="1" applyBorder="1" applyAlignment="1">
      <alignment horizontal="center"/>
    </xf>
    <xf numFmtId="2" fontId="23" fillId="25" borderId="29" xfId="0" applyNumberFormat="1" applyFont="1" applyFill="1" applyBorder="1" applyAlignment="1">
      <alignment horizontal="center" wrapText="1"/>
    </xf>
    <xf numFmtId="2" fontId="23" fillId="25" borderId="29" xfId="59" applyNumberFormat="1" applyFont="1" applyFill="1" applyBorder="1" applyAlignment="1">
      <alignment horizontal="center" wrapText="1"/>
    </xf>
    <xf numFmtId="2" fontId="23" fillId="25" borderId="18" xfId="59" applyNumberFormat="1" applyFont="1" applyFill="1" applyBorder="1" applyAlignment="1">
      <alignment horizontal="center" wrapText="1"/>
    </xf>
    <xf numFmtId="2" fontId="39" fillId="25" borderId="10" xfId="0" applyNumberFormat="1" applyFont="1" applyFill="1" applyBorder="1" applyAlignment="1">
      <alignment horizontal="center"/>
    </xf>
    <xf numFmtId="2" fontId="39" fillId="25" borderId="10" xfId="0" applyNumberFormat="1" applyFont="1" applyFill="1" applyBorder="1" applyAlignment="1">
      <alignment horizontal="center" wrapText="1"/>
    </xf>
    <xf numFmtId="2" fontId="39" fillId="25" borderId="29" xfId="0" applyNumberFormat="1" applyFont="1" applyFill="1" applyBorder="1" applyAlignment="1">
      <alignment horizontal="center" wrapText="1"/>
    </xf>
    <xf numFmtId="2" fontId="39" fillId="25" borderId="18" xfId="0" applyNumberFormat="1" applyFont="1" applyFill="1" applyBorder="1" applyAlignment="1">
      <alignment horizontal="center" wrapText="1"/>
    </xf>
    <xf numFmtId="2" fontId="39" fillId="25" borderId="10" xfId="0" applyNumberFormat="1" applyFont="1" applyFill="1" applyBorder="1" applyAlignment="1">
      <alignment horizontal="center" vertical="top"/>
    </xf>
    <xf numFmtId="2" fontId="39" fillId="25" borderId="10" xfId="59" applyNumberFormat="1" applyFont="1" applyFill="1" applyBorder="1" applyAlignment="1">
      <alignment horizontal="center" vertical="top"/>
    </xf>
    <xf numFmtId="2" fontId="39" fillId="25" borderId="10" xfId="0" applyNumberFormat="1" applyFont="1" applyFill="1" applyBorder="1" applyAlignment="1">
      <alignment horizontal="center" vertical="top" wrapText="1"/>
    </xf>
    <xf numFmtId="2" fontId="39" fillId="25" borderId="29" xfId="0" applyNumberFormat="1" applyFont="1" applyFill="1" applyBorder="1" applyAlignment="1">
      <alignment horizontal="center" vertical="top" wrapText="1"/>
    </xf>
    <xf numFmtId="2" fontId="39" fillId="25" borderId="18" xfId="0" applyNumberFormat="1" applyFont="1" applyFill="1" applyBorder="1" applyAlignment="1">
      <alignment horizontal="center" vertical="top"/>
    </xf>
    <xf numFmtId="2" fontId="23" fillId="25" borderId="0" xfId="0" applyNumberFormat="1" applyFont="1" applyFill="1" applyAlignment="1">
      <alignment horizontal="left"/>
    </xf>
    <xf numFmtId="2" fontId="23" fillId="25" borderId="10" xfId="59" applyNumberFormat="1" applyFont="1" applyFill="1" applyBorder="1" applyAlignment="1">
      <alignment horizontal="center" vertical="center"/>
    </xf>
    <xf numFmtId="2" fontId="51" fillId="25" borderId="10" xfId="0" applyNumberFormat="1" applyFont="1" applyFill="1" applyBorder="1" applyAlignment="1">
      <alignment horizontal="center"/>
    </xf>
    <xf numFmtId="2" fontId="51" fillId="25" borderId="10" xfId="0" applyNumberFormat="1" applyFont="1" applyFill="1" applyBorder="1" applyAlignment="1">
      <alignment horizontal="center" vertical="justify"/>
    </xf>
    <xf numFmtId="2" fontId="51" fillId="28" borderId="10" xfId="0" applyNumberFormat="1" applyFont="1" applyFill="1" applyBorder="1" applyAlignment="1">
      <alignment horizontal="center"/>
    </xf>
    <xf numFmtId="0" fontId="45" fillId="26" borderId="14" xfId="0" applyFont="1" applyFill="1" applyBorder="1" applyAlignment="1" applyProtection="1">
      <alignment horizontal="center" vertical="top" wrapText="1" readingOrder="1"/>
      <protection locked="0"/>
    </xf>
    <xf numFmtId="0" fontId="45" fillId="26" borderId="15" xfId="0" applyFont="1" applyFill="1" applyBorder="1" applyAlignment="1" applyProtection="1">
      <alignment horizontal="center" vertical="top" wrapText="1" readingOrder="1"/>
      <protection locked="0"/>
    </xf>
    <xf numFmtId="0" fontId="45" fillId="26" borderId="30" xfId="0" applyFont="1" applyFill="1" applyBorder="1" applyAlignment="1" applyProtection="1">
      <alignment horizontal="center" vertical="top" wrapText="1" readingOrder="1"/>
      <protection locked="0"/>
    </xf>
    <xf numFmtId="0" fontId="45" fillId="26" borderId="10" xfId="0" applyFont="1" applyFill="1" applyBorder="1" applyAlignment="1" applyProtection="1">
      <alignment horizontal="center" vertical="top" wrapText="1" readingOrder="1"/>
      <protection locked="0"/>
    </xf>
    <xf numFmtId="0" fontId="45" fillId="26" borderId="31" xfId="0" applyFont="1" applyFill="1" applyBorder="1" applyAlignment="1" applyProtection="1">
      <alignment horizontal="center" vertical="top" wrapText="1" readingOrder="1"/>
      <protection locked="0"/>
    </xf>
    <xf numFmtId="0" fontId="45" fillId="26" borderId="29" xfId="0" applyFont="1" applyFill="1" applyBorder="1" applyAlignment="1" applyProtection="1">
      <alignment horizontal="center" vertical="top" wrapText="1" readingOrder="1"/>
      <protection locked="0"/>
    </xf>
    <xf numFmtId="0" fontId="45" fillId="26" borderId="32" xfId="0" applyFont="1" applyFill="1" applyBorder="1" applyAlignment="1" applyProtection="1">
      <alignment horizontal="center" vertical="top" wrapText="1" readingOrder="1"/>
      <protection locked="0"/>
    </xf>
    <xf numFmtId="0" fontId="45" fillId="26" borderId="18" xfId="0" applyFont="1" applyFill="1" applyBorder="1" applyAlignment="1" applyProtection="1">
      <alignment horizontal="center" vertical="top" wrapText="1" readingOrder="1"/>
      <protection locked="0"/>
    </xf>
    <xf numFmtId="0" fontId="45" fillId="26" borderId="33" xfId="0" applyFont="1" applyFill="1" applyBorder="1" applyAlignment="1" applyProtection="1">
      <alignment horizontal="center" vertical="top" wrapText="1" readingOrder="1"/>
      <protection locked="0"/>
    </xf>
    <xf numFmtId="0" fontId="45" fillId="26" borderId="34" xfId="0" applyFont="1" applyFill="1" applyBorder="1" applyAlignment="1" applyProtection="1">
      <alignment horizontal="center" vertical="top" wrapText="1" readingOrder="1"/>
      <protection locked="0"/>
    </xf>
    <xf numFmtId="0" fontId="54" fillId="0" borderId="38" xfId="0" applyFont="1" applyBorder="1" applyAlignment="1">
      <alignment horizontal="center" wrapText="1"/>
    </xf>
    <xf numFmtId="0" fontId="54" fillId="0" borderId="22" xfId="0" applyFont="1" applyBorder="1" applyAlignment="1">
      <alignment horizontal="center" wrapText="1"/>
    </xf>
    <xf numFmtId="0" fontId="54" fillId="0" borderId="41" xfId="0" applyFont="1" applyBorder="1" applyAlignment="1">
      <alignment horizontal="center" wrapText="1"/>
    </xf>
    <xf numFmtId="0" fontId="54" fillId="0" borderId="37" xfId="0" applyFont="1" applyBorder="1" applyAlignment="1">
      <alignment horizontal="center" wrapText="1"/>
    </xf>
    <xf numFmtId="0" fontId="54" fillId="0" borderId="10" xfId="0" applyFont="1" applyBorder="1" applyAlignment="1">
      <alignment horizontal="center" wrapText="1"/>
    </xf>
    <xf numFmtId="0" fontId="55" fillId="0" borderId="0" xfId="0" applyFont="1" applyAlignment="1">
      <alignment horizontal="right"/>
    </xf>
    <xf numFmtId="0" fontId="55" fillId="0" borderId="35" xfId="0" applyFont="1" applyBorder="1" applyAlignment="1">
      <alignment horizontal="right" wrapText="1"/>
    </xf>
    <xf numFmtId="0" fontId="55" fillId="0" borderId="0" xfId="0" applyFont="1" applyBorder="1" applyAlignment="1">
      <alignment horizontal="right" wrapText="1"/>
    </xf>
    <xf numFmtId="0" fontId="54" fillId="0" borderId="36" xfId="0" applyFont="1" applyBorder="1" applyAlignment="1">
      <alignment horizontal="center" wrapText="1"/>
    </xf>
    <xf numFmtId="0" fontId="54" fillId="0" borderId="42" xfId="0" applyFont="1" applyBorder="1" applyAlignment="1">
      <alignment horizontal="center" wrapText="1"/>
    </xf>
    <xf numFmtId="0" fontId="54" fillId="0" borderId="36" xfId="0" applyFont="1" applyBorder="1" applyAlignment="1">
      <alignment horizontal="center"/>
    </xf>
    <xf numFmtId="0" fontId="54" fillId="0" borderId="42" xfId="0" applyFont="1" applyBorder="1" applyAlignment="1">
      <alignment horizontal="center"/>
    </xf>
    <xf numFmtId="0" fontId="54" fillId="0" borderId="41" xfId="0" applyFont="1" applyBorder="1" applyAlignment="1">
      <alignment horizontal="center"/>
    </xf>
    <xf numFmtId="0" fontId="24" fillId="0" borderId="35" xfId="0" applyFont="1" applyBorder="1" applyAlignment="1">
      <alignment horizontal="right" vertical="center"/>
    </xf>
    <xf numFmtId="0" fontId="31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2" fillId="27" borderId="36" xfId="0" applyFont="1" applyFill="1" applyBorder="1" applyAlignment="1">
      <alignment horizontal="center" vertical="center" wrapText="1"/>
    </xf>
    <xf numFmtId="0" fontId="32" fillId="27" borderId="37" xfId="0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wrapText="1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2" xfId="43"/>
    <cellStyle name="Normal 2 2" xfId="44"/>
    <cellStyle name="Normal 2 3" xfId="45"/>
    <cellStyle name="Normal 3" xfId="46"/>
    <cellStyle name="Normal 4" xfId="47"/>
    <cellStyle name="Normal 5" xfId="48"/>
    <cellStyle name="Normal 6" xfId="49"/>
    <cellStyle name="Normal 7" xfId="50"/>
    <cellStyle name="Normal 7 2" xfId="51"/>
    <cellStyle name="Normal 7 3" xfId="52"/>
    <cellStyle name="Normal 7 4" xfId="53"/>
    <cellStyle name="Normal 7 5" xfId="54"/>
    <cellStyle name="Normal 7 6" xfId="55"/>
    <cellStyle name="Normal 8" xfId="56"/>
    <cellStyle name="Normal 9" xfId="57"/>
    <cellStyle name="Normal_08-09(1)" xfId="58"/>
    <cellStyle name="Normal_summary 2" xfId="59"/>
    <cellStyle name="Normal_summary 2 2" xfId="60"/>
    <cellStyle name="Note" xfId="61" builtinId="10" customBuiltin="1"/>
    <cellStyle name="Output" xfId="62" builtinId="21" customBuiltin="1"/>
    <cellStyle name="Percent 2" xfId="63"/>
    <cellStyle name="Title" xfId="64" builtinId="15" customBuiltin="1"/>
    <cellStyle name="Total" xfId="65" builtinId="25" customBuiltin="1"/>
    <cellStyle name="Warning Text" xfId="6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88" workbookViewId="0">
      <selection activeCell="B106" sqref="B106"/>
    </sheetView>
  </sheetViews>
  <sheetFormatPr defaultColWidth="13.42578125" defaultRowHeight="18.75" customHeight="1" x14ac:dyDescent="0.35"/>
  <cols>
    <col min="1" max="1" width="44.7109375" style="11" customWidth="1"/>
    <col min="2" max="2" width="25.28515625" style="11" customWidth="1"/>
    <col min="3" max="3" width="22.7109375" style="11" customWidth="1"/>
    <col min="4" max="4" width="26.7109375" style="11" customWidth="1"/>
    <col min="5" max="5" width="23.28515625" style="11" customWidth="1"/>
    <col min="6" max="16384" width="13.42578125" style="11"/>
  </cols>
  <sheetData>
    <row r="1" spans="1:5" s="9" customFormat="1" ht="27.75" customHeight="1" x14ac:dyDescent="0.35">
      <c r="A1" s="146" t="s">
        <v>176</v>
      </c>
      <c r="B1" s="146"/>
      <c r="C1" s="146"/>
      <c r="D1" s="146"/>
      <c r="E1" s="146"/>
    </row>
    <row r="2" spans="1:5" s="10" customFormat="1" ht="18.75" customHeight="1" x14ac:dyDescent="0.35">
      <c r="A2" s="142" t="s">
        <v>191</v>
      </c>
      <c r="B2" s="143"/>
      <c r="C2" s="143"/>
      <c r="D2" s="143"/>
      <c r="E2" s="143"/>
    </row>
    <row r="3" spans="1:5" s="10" customFormat="1" ht="18.75" customHeight="1" x14ac:dyDescent="0.35">
      <c r="A3" s="144" t="s">
        <v>192</v>
      </c>
      <c r="B3" s="145"/>
      <c r="C3" s="145"/>
      <c r="D3" s="145"/>
      <c r="E3" s="145"/>
    </row>
    <row r="4" spans="1:5" s="9" customFormat="1" ht="18.75" customHeight="1" x14ac:dyDescent="0.35">
      <c r="A4" s="112" t="s">
        <v>62</v>
      </c>
      <c r="B4" s="141" t="s">
        <v>221</v>
      </c>
      <c r="C4" s="141"/>
      <c r="D4" s="147" t="s">
        <v>227</v>
      </c>
      <c r="E4" s="147"/>
    </row>
    <row r="5" spans="1:5" s="9" customFormat="1" ht="18.75" customHeight="1" x14ac:dyDescent="0.35">
      <c r="A5" s="112"/>
      <c r="B5" s="141" t="s">
        <v>222</v>
      </c>
      <c r="C5" s="141"/>
      <c r="D5" s="147" t="s">
        <v>222</v>
      </c>
      <c r="E5" s="147"/>
    </row>
    <row r="6" spans="1:5" s="9" customFormat="1" ht="18.75" customHeight="1" x14ac:dyDescent="0.35">
      <c r="A6" s="113" t="s">
        <v>63</v>
      </c>
      <c r="B6" s="114" t="s">
        <v>189</v>
      </c>
      <c r="C6" s="114" t="s">
        <v>190</v>
      </c>
      <c r="D6" s="114" t="s">
        <v>189</v>
      </c>
      <c r="E6" s="114" t="s">
        <v>190</v>
      </c>
    </row>
    <row r="7" spans="1:5" ht="18.75" customHeight="1" x14ac:dyDescent="0.35">
      <c r="A7" s="115" t="s">
        <v>147</v>
      </c>
      <c r="B7" s="116">
        <v>21.393999999999998</v>
      </c>
      <c r="C7" s="116">
        <v>12.744</v>
      </c>
      <c r="D7" s="117">
        <f>' Fruits 2014-15(Final)'!B38</f>
        <v>20.9407</v>
      </c>
      <c r="E7" s="117">
        <f>' Fruits 2014-15(Final)'!C38</f>
        <v>9.8804000000000016</v>
      </c>
    </row>
    <row r="8" spans="1:5" ht="18.75" customHeight="1" x14ac:dyDescent="0.35">
      <c r="A8" s="118" t="s">
        <v>201</v>
      </c>
      <c r="B8" s="117">
        <v>103.54799999999999</v>
      </c>
      <c r="C8" s="117">
        <v>1225.211</v>
      </c>
      <c r="D8" s="117">
        <f>' Fruits 2014-15(Final)'!D38</f>
        <v>95.086500000000001</v>
      </c>
      <c r="E8" s="117">
        <f>' Fruits 2014-15(Final)'!E38</f>
        <v>1173.3275000000003</v>
      </c>
    </row>
    <row r="9" spans="1:5" ht="18.75" customHeight="1" x14ac:dyDescent="0.35">
      <c r="A9" s="117" t="s">
        <v>65</v>
      </c>
      <c r="B9" s="117">
        <v>313.04399999999998</v>
      </c>
      <c r="C9" s="117">
        <v>2497.6779999999999</v>
      </c>
      <c r="D9" s="117">
        <f>' Fruits 2014-15(Final)'!F38</f>
        <v>319.19559999999996</v>
      </c>
      <c r="E9" s="117">
        <f>' Fruits 2014-15(Final)'!G38</f>
        <v>2133.8364000000001</v>
      </c>
    </row>
    <row r="10" spans="1:5" ht="18.75" customHeight="1" x14ac:dyDescent="0.35">
      <c r="A10" s="118" t="s">
        <v>66</v>
      </c>
      <c r="B10" s="117">
        <v>802.56600000000003</v>
      </c>
      <c r="C10" s="117">
        <v>29724.547999999995</v>
      </c>
      <c r="D10" s="117">
        <f>' Fruits 2014-15(Final)'!J38</f>
        <v>821.80250000000012</v>
      </c>
      <c r="E10" s="117">
        <f>' Fruits 2014-15(Final)'!K38</f>
        <v>29221.469599999997</v>
      </c>
    </row>
    <row r="11" spans="1:5" ht="18.75" customHeight="1" x14ac:dyDescent="0.35">
      <c r="A11" s="118" t="s">
        <v>136</v>
      </c>
      <c r="B11" s="117">
        <v>48.448</v>
      </c>
      <c r="C11" s="117">
        <v>662.95899999999995</v>
      </c>
      <c r="D11" s="117">
        <f>' Fruits 2014-15(Final)'!L38</f>
        <v>42.117299999999993</v>
      </c>
      <c r="E11" s="117">
        <f>' Fruits 2014-15(Final)'!M38</f>
        <v>400.67160000000001</v>
      </c>
    </row>
    <row r="12" spans="1:5" ht="18.75" customHeight="1" x14ac:dyDescent="0.35">
      <c r="A12" s="113" t="s">
        <v>137</v>
      </c>
      <c r="B12" s="117"/>
      <c r="C12" s="117"/>
      <c r="D12" s="117"/>
      <c r="E12" s="117"/>
    </row>
    <row r="13" spans="1:5" ht="18.75" customHeight="1" x14ac:dyDescent="0.35">
      <c r="A13" s="119" t="s">
        <v>138</v>
      </c>
      <c r="B13" s="117">
        <v>286.41399999999999</v>
      </c>
      <c r="C13" s="117">
        <v>2835.018</v>
      </c>
      <c r="D13" s="117">
        <f>' Citrus 2014-15(Final)'!B38</f>
        <v>268.41639999999995</v>
      </c>
      <c r="E13" s="117">
        <f>' Citrus 2014-15(Final)'!C38</f>
        <v>2950.4074000000001</v>
      </c>
    </row>
    <row r="14" spans="1:5" ht="18.75" customHeight="1" x14ac:dyDescent="0.35">
      <c r="A14" s="119" t="s">
        <v>160</v>
      </c>
      <c r="B14" s="117">
        <v>329.96900000000005</v>
      </c>
      <c r="C14" s="117">
        <v>3431.413</v>
      </c>
      <c r="D14" s="117">
        <f>' Citrus 2014-15(Final)'!D38</f>
        <v>299.20469999999995</v>
      </c>
      <c r="E14" s="117">
        <f>' Citrus 2014-15(Final)'!E38</f>
        <v>3698.9875999999995</v>
      </c>
    </row>
    <row r="15" spans="1:5" ht="18.75" customHeight="1" x14ac:dyDescent="0.35">
      <c r="A15" s="119" t="s">
        <v>161</v>
      </c>
      <c r="B15" s="117">
        <v>334.93900000000002</v>
      </c>
      <c r="C15" s="117">
        <v>3886.1979999999999</v>
      </c>
      <c r="D15" s="117">
        <f>' Citrus 2014-15(Final)'!F38</f>
        <v>274.67670000000004</v>
      </c>
      <c r="E15" s="117">
        <f>' Citrus 2014-15(Final)'!G38</f>
        <v>4228.9911000000002</v>
      </c>
    </row>
    <row r="16" spans="1:5" ht="18.75" customHeight="1" x14ac:dyDescent="0.35">
      <c r="A16" s="119" t="s">
        <v>139</v>
      </c>
      <c r="B16" s="117">
        <v>126.405</v>
      </c>
      <c r="C16" s="117">
        <v>994.42599999999993</v>
      </c>
      <c r="D16" s="117">
        <f>' Citrus 2014-15(Final)'!H38</f>
        <v>111.10300000000001</v>
      </c>
      <c r="E16" s="117">
        <f>' Citrus 2014-15(Final)'!I38</f>
        <v>776.81550000000004</v>
      </c>
    </row>
    <row r="17" spans="1:5" ht="18.75" customHeight="1" x14ac:dyDescent="0.35">
      <c r="A17" s="118" t="s">
        <v>140</v>
      </c>
      <c r="B17" s="120">
        <f>B13+B14+B15+B16</f>
        <v>1077.7270000000001</v>
      </c>
      <c r="C17" s="120">
        <f>C13+C14+C15+C16</f>
        <v>11147.055</v>
      </c>
      <c r="D17" s="120">
        <f>D13+D14+D15+D16</f>
        <v>953.40079999999989</v>
      </c>
      <c r="E17" s="120">
        <f>E13+E14+E15+E16</f>
        <v>11655.2016</v>
      </c>
    </row>
    <row r="18" spans="1:5" ht="18.75" customHeight="1" x14ac:dyDescent="0.35">
      <c r="A18" s="118" t="s">
        <v>163</v>
      </c>
      <c r="B18" s="117">
        <v>21.771000000000001</v>
      </c>
      <c r="C18" s="117">
        <v>165.15</v>
      </c>
      <c r="D18" s="117">
        <f>' Fruits 2014-15(Final)'!N38</f>
        <v>29.8657</v>
      </c>
      <c r="E18" s="117">
        <f>' Fruits 2014-15(Final)'!O38</f>
        <v>228.36748999999998</v>
      </c>
    </row>
    <row r="19" spans="1:5" ht="18.75" customHeight="1" x14ac:dyDescent="0.35">
      <c r="A19" s="118" t="s">
        <v>68</v>
      </c>
      <c r="B19" s="117">
        <v>118.735</v>
      </c>
      <c r="C19" s="117">
        <v>2585.3379999999997</v>
      </c>
      <c r="D19" s="117">
        <f>' Fruits 2014-15(Final)'!P38</f>
        <v>122.96459999999999</v>
      </c>
      <c r="E19" s="117">
        <f>' Fruits 2014-15(Final)'!Q38</f>
        <v>2822.7787000000003</v>
      </c>
    </row>
    <row r="20" spans="1:5" ht="18.75" customHeight="1" x14ac:dyDescent="0.35">
      <c r="A20" s="118" t="s">
        <v>67</v>
      </c>
      <c r="B20" s="117">
        <v>268.21600000000001</v>
      </c>
      <c r="C20" s="117">
        <v>3667.8938999999991</v>
      </c>
      <c r="D20" s="117">
        <f>' Fruits 2014-15(Final)'!R38</f>
        <v>246.23769999999996</v>
      </c>
      <c r="E20" s="117">
        <f>' Fruits 2014-15(Final)'!S38</f>
        <v>3993.5046839999991</v>
      </c>
    </row>
    <row r="21" spans="1:5" ht="18.75" customHeight="1" x14ac:dyDescent="0.35">
      <c r="A21" s="118" t="s">
        <v>162</v>
      </c>
      <c r="B21" s="117">
        <v>157.584</v>
      </c>
      <c r="C21" s="117">
        <v>1572.8700000000001</v>
      </c>
      <c r="D21" s="117">
        <f>' Fruits 2014-15(Final)'!T38</f>
        <v>118.38740000000001</v>
      </c>
      <c r="E21" s="117">
        <f>' Fruits 2014-15(Final)'!U38</f>
        <v>2087.8825000000002</v>
      </c>
    </row>
    <row r="22" spans="1:5" ht="18.75" customHeight="1" x14ac:dyDescent="0.35">
      <c r="A22" s="118" t="s">
        <v>141</v>
      </c>
      <c r="B22" s="117">
        <v>4.7279999999999998</v>
      </c>
      <c r="C22" s="117">
        <v>8.2409999999999997</v>
      </c>
      <c r="D22" s="117">
        <f>' Fruits 2014-15(Final)'!V38</f>
        <v>4.6311</v>
      </c>
      <c r="E22" s="117">
        <f>' Fruits 2014-15(Final)'!W38</f>
        <v>8.4994999999999994</v>
      </c>
    </row>
    <row r="23" spans="1:5" ht="18.75" customHeight="1" x14ac:dyDescent="0.35">
      <c r="A23" s="118" t="s">
        <v>142</v>
      </c>
      <c r="B23" s="117">
        <v>84.166000000000011</v>
      </c>
      <c r="C23" s="117">
        <v>585.29699999999991</v>
      </c>
      <c r="D23" s="117">
        <f>' Fruits 2014-15(Final)'!X38</f>
        <v>84.953600000000009</v>
      </c>
      <c r="E23" s="117">
        <f>' Fruits 2014-15(Final)'!Y38</f>
        <v>528.25930000000005</v>
      </c>
    </row>
    <row r="24" spans="1:5" ht="18.75" customHeight="1" x14ac:dyDescent="0.35">
      <c r="A24" s="118" t="s">
        <v>64</v>
      </c>
      <c r="B24" s="117">
        <v>2515.9689999999996</v>
      </c>
      <c r="C24" s="117">
        <v>18431.331000000002</v>
      </c>
      <c r="D24" s="117">
        <f>' Fruits 2014-15(Final)'!Z38</f>
        <v>2163.4663999999998</v>
      </c>
      <c r="E24" s="117">
        <f>' Fruits 2014-15(Final)'!AA38</f>
        <v>18526.980699999996</v>
      </c>
    </row>
    <row r="25" spans="1:5" ht="18.75" customHeight="1" x14ac:dyDescent="0.35">
      <c r="A25" s="118" t="s">
        <v>69</v>
      </c>
      <c r="B25" s="117">
        <v>133.36000000000001</v>
      </c>
      <c r="C25" s="117">
        <v>5639.3</v>
      </c>
      <c r="D25" s="117">
        <f>' Fruits 2014-15(Final)'!AB38</f>
        <v>114.96939999999999</v>
      </c>
      <c r="E25" s="117">
        <f>' Fruits 2014-15(Final)'!AC38</f>
        <v>4912.6727400000009</v>
      </c>
    </row>
    <row r="26" spans="1:5" ht="18.75" customHeight="1" x14ac:dyDescent="0.35">
      <c r="A26" s="118" t="s">
        <v>177</v>
      </c>
      <c r="B26" s="117">
        <v>19.012999999999998</v>
      </c>
      <c r="C26" s="117">
        <v>123.935</v>
      </c>
      <c r="D26" s="117">
        <f>' Fruits 2014-15(Final)'!AD38</f>
        <v>18.825099999999999</v>
      </c>
      <c r="E26" s="117">
        <f>' Fruits 2014-15(Final)'!AE38</f>
        <v>129.27082000000001</v>
      </c>
    </row>
    <row r="27" spans="1:5" ht="18.75" customHeight="1" x14ac:dyDescent="0.35">
      <c r="A27" s="118" t="s">
        <v>143</v>
      </c>
      <c r="B27" s="117">
        <v>18.097999999999999</v>
      </c>
      <c r="C27" s="117">
        <v>93.521000000000015</v>
      </c>
      <c r="D27" s="117">
        <f>' Fruits 2014-15(Final)'!AH38</f>
        <v>18.911999999999999</v>
      </c>
      <c r="E27" s="117">
        <f>' Fruits 2014-15(Final)'!AI38</f>
        <v>96.575500000000005</v>
      </c>
    </row>
    <row r="28" spans="1:5" ht="18.75" customHeight="1" x14ac:dyDescent="0.35">
      <c r="A28" s="118" t="s">
        <v>144</v>
      </c>
      <c r="B28" s="117">
        <v>42.28</v>
      </c>
      <c r="C28" s="117">
        <v>316.697</v>
      </c>
      <c r="D28" s="117">
        <f>' Fruits 2014-15(Final)'!AJ38</f>
        <v>41.5047</v>
      </c>
      <c r="E28" s="117">
        <f>' Fruits 2014-15(Final)'!AK38</f>
        <v>302.654</v>
      </c>
    </row>
    <row r="29" spans="1:5" ht="18.75" customHeight="1" x14ac:dyDescent="0.35">
      <c r="A29" s="118" t="s">
        <v>206</v>
      </c>
      <c r="B29" s="117">
        <v>1.474</v>
      </c>
      <c r="C29" s="117">
        <v>0.17100000000000001</v>
      </c>
      <c r="D29" s="117">
        <f>' Fruits 2014-15(Final)'!AL38</f>
        <v>1.1429</v>
      </c>
      <c r="E29" s="117">
        <f>' Fruits 2014-15(Final)'!AM38</f>
        <v>0.13139999999999999</v>
      </c>
    </row>
    <row r="30" spans="1:5" ht="18.75" customHeight="1" x14ac:dyDescent="0.35">
      <c r="A30" s="118" t="s">
        <v>70</v>
      </c>
      <c r="B30" s="117">
        <v>109.876</v>
      </c>
      <c r="C30" s="117">
        <v>1736.7390000000003</v>
      </c>
      <c r="D30" s="117">
        <f>' Fruits 2014-15(Final)'!AN38</f>
        <v>116.12340000000002</v>
      </c>
      <c r="E30" s="117">
        <f>' Fruits 2014-15(Final)'!AO38</f>
        <v>1984.0360000000001</v>
      </c>
    </row>
    <row r="31" spans="1:5" ht="18.75" customHeight="1" x14ac:dyDescent="0.35">
      <c r="A31" s="118" t="s">
        <v>145</v>
      </c>
      <c r="B31" s="117">
        <v>23.154000000000003</v>
      </c>
      <c r="C31" s="117">
        <v>75.804000000000002</v>
      </c>
      <c r="D31" s="117">
        <f>' Fruits 2014-15(Final)'!AP38</f>
        <v>23.222700000000003</v>
      </c>
      <c r="E31" s="117">
        <f>' Fruits 2014-15(Final)'!AQ38</f>
        <v>72.155349999999999</v>
      </c>
    </row>
    <row r="32" spans="1:5" ht="18.75" customHeight="1" x14ac:dyDescent="0.35">
      <c r="A32" s="118" t="s">
        <v>71</v>
      </c>
      <c r="B32" s="117">
        <v>130.76500000000001</v>
      </c>
      <c r="C32" s="117">
        <v>1345.72255</v>
      </c>
      <c r="D32" s="117">
        <f>' Fruits 2014-15(Final)'!AR38</f>
        <v>180.63740000000001</v>
      </c>
      <c r="E32" s="117">
        <f>' Fruits 2014-15(Final)'!AS38</f>
        <v>1789.3070299999999</v>
      </c>
    </row>
    <row r="33" spans="1:5" ht="18.75" customHeight="1" x14ac:dyDescent="0.35">
      <c r="A33" s="118" t="s">
        <v>72</v>
      </c>
      <c r="B33" s="117">
        <v>176.96699999999996</v>
      </c>
      <c r="C33" s="117">
        <v>1744.2950000000001</v>
      </c>
      <c r="D33" s="117">
        <f>' Fruits 2014-15(Final)'!AT38</f>
        <v>106.49250000000001</v>
      </c>
      <c r="E33" s="117">
        <f>' Fruits 2014-15(Final)'!AU38</f>
        <v>1339.0049999999997</v>
      </c>
    </row>
    <row r="34" spans="1:5" ht="18.75" customHeight="1" x14ac:dyDescent="0.35">
      <c r="A34" s="118" t="s">
        <v>207</v>
      </c>
      <c r="B34" s="117">
        <v>0.20899999999999999</v>
      </c>
      <c r="C34" s="117">
        <v>1.611</v>
      </c>
      <c r="D34" s="117">
        <f>' Fruits 2014-15(Final)'!AV38</f>
        <v>0.83489999999999998</v>
      </c>
      <c r="E34" s="117">
        <f>' Fruits 2014-15(Final)'!AW38</f>
        <v>8.4952000000000005</v>
      </c>
    </row>
    <row r="35" spans="1:5" ht="18.75" customHeight="1" x14ac:dyDescent="0.35">
      <c r="A35" s="118" t="s">
        <v>146</v>
      </c>
      <c r="B35" s="117">
        <v>121.87</v>
      </c>
      <c r="C35" s="117">
        <v>240.631</v>
      </c>
      <c r="D35" s="117">
        <f>' Fruits 2014-15(Final)'!AX38</f>
        <v>114.84760000000001</v>
      </c>
      <c r="E35" s="117">
        <f>' Fruits 2014-15(Final)'!AY38</f>
        <v>238.25390000000002</v>
      </c>
    </row>
    <row r="36" spans="1:5" ht="18.75" customHeight="1" x14ac:dyDescent="0.35">
      <c r="A36" s="118" t="s">
        <v>73</v>
      </c>
      <c r="B36" s="117">
        <v>901.35</v>
      </c>
      <c r="C36" s="117">
        <v>5372.3919999999998</v>
      </c>
      <c r="D36" s="117">
        <f>' Fruits 2014-15(Final)'!AZ38+' Fruits 2014-15(Final)'!H38</f>
        <v>349.10889999999995</v>
      </c>
      <c r="E36" s="117">
        <f>' Fruits 2014-15(Final)'!BA38+' Fruits 2014-15(Final)'!I38</f>
        <v>2938.4677699999993</v>
      </c>
    </row>
    <row r="37" spans="1:5" ht="18.75" customHeight="1" x14ac:dyDescent="0.35">
      <c r="A37" s="112" t="s">
        <v>148</v>
      </c>
      <c r="B37" s="120">
        <f>B7+B8+B9+B10+B11+B17+B18+B19+B20+B21+B22+B23+B24+B25+B26+B27+B28+B29+B30+B31+B32+B33+B34+B35+B36</f>
        <v>7216.3120000000008</v>
      </c>
      <c r="C37" s="120">
        <f>C7+C8+C9+C10+C11+C17+C18+C19+C20+C21+C22+C23+C24+C25+C26+C27+C28+C29+C30+C31+C32+C33+C34+C35+C36</f>
        <v>88977.134450000012</v>
      </c>
      <c r="D37" s="120">
        <f>D7+D8+D9+D10+D11+D17+D18+D19+D20+D21+D22+D23+D24+D25+D26+D27+D28+D29+D30+D31+D32+D33+D34+D35+D36</f>
        <v>6109.6714000000002</v>
      </c>
      <c r="E37" s="120">
        <f>E7+E8+E9+E10+E11+E17+E18+E19+E20+E21+E22+E23+E24+E25+E26+E27+E28+E29+E30+E31+E32+E33+E34+E35+E36</f>
        <v>86601.684683999993</v>
      </c>
    </row>
    <row r="38" spans="1:5" ht="18.75" customHeight="1" x14ac:dyDescent="0.35">
      <c r="A38" s="113" t="s">
        <v>74</v>
      </c>
      <c r="B38" s="117"/>
      <c r="C38" s="117"/>
      <c r="D38" s="117"/>
      <c r="E38" s="117"/>
    </row>
    <row r="39" spans="1:5" ht="18.75" customHeight="1" x14ac:dyDescent="0.35">
      <c r="A39" s="118" t="s">
        <v>149</v>
      </c>
      <c r="B39" s="117">
        <v>137.53900000000002</v>
      </c>
      <c r="C39" s="117">
        <v>1370.2131999999999</v>
      </c>
      <c r="D39" s="117">
        <f>'Vegetables 2014-15(Final)'!B38</f>
        <v>218.08440000000004</v>
      </c>
      <c r="E39" s="117">
        <f>'Vegetables 2014-15(Final)'!C38</f>
        <v>2203.9425999999999</v>
      </c>
    </row>
    <row r="40" spans="1:5" ht="18.75" customHeight="1" x14ac:dyDescent="0.35">
      <c r="A40" s="118" t="s">
        <v>184</v>
      </c>
      <c r="B40" s="117">
        <v>78.886000000000024</v>
      </c>
      <c r="C40" s="117">
        <v>807.47449999999992</v>
      </c>
      <c r="D40" s="117">
        <f>'Vegetables 2014-15(Final)'!D38</f>
        <v>75.889799999999994</v>
      </c>
      <c r="E40" s="117">
        <f>'Vegetables 2014-15(Final)'!E38</f>
        <v>769.58149999999989</v>
      </c>
    </row>
    <row r="41" spans="1:5" ht="18.75" customHeight="1" x14ac:dyDescent="0.35">
      <c r="A41" s="118" t="s">
        <v>185</v>
      </c>
      <c r="B41" s="117">
        <v>103.22499999999998</v>
      </c>
      <c r="C41" s="117">
        <v>1818.8639399999995</v>
      </c>
      <c r="D41" s="117">
        <f>'Vegetables 2014-15(Final)'!F38</f>
        <v>108.30220000000001</v>
      </c>
      <c r="E41" s="117">
        <f>'Vegetables 2014-15(Final)'!G38</f>
        <v>1826.3962500000002</v>
      </c>
    </row>
    <row r="42" spans="1:5" ht="18.75" customHeight="1" x14ac:dyDescent="0.35">
      <c r="A42" s="118" t="s">
        <v>78</v>
      </c>
      <c r="B42" s="117">
        <v>711.30599999999981</v>
      </c>
      <c r="C42" s="117">
        <v>13557.820999999996</v>
      </c>
      <c r="D42" s="117">
        <f>'Vegetables 2014-15(Final)'!H38</f>
        <v>673.07320000000004</v>
      </c>
      <c r="E42" s="117">
        <f>'Vegetables 2014-15(Final)'!I38</f>
        <v>12588.544980000001</v>
      </c>
    </row>
    <row r="43" spans="1:5" ht="18.75" customHeight="1" x14ac:dyDescent="0.35">
      <c r="A43" s="118" t="s">
        <v>79</v>
      </c>
      <c r="B43" s="117">
        <v>400.13799999999986</v>
      </c>
      <c r="C43" s="117">
        <v>9039.219000000001</v>
      </c>
      <c r="D43" s="117">
        <f>'Vegetables 2014-15(Final)'!J38</f>
        <v>385.60939999999999</v>
      </c>
      <c r="E43" s="117">
        <f>'Vegetables 2014-15(Final)'!K38</f>
        <v>8584.7875499999991</v>
      </c>
    </row>
    <row r="44" spans="1:5" ht="18.75" customHeight="1" x14ac:dyDescent="0.35">
      <c r="A44" s="118" t="s">
        <v>150</v>
      </c>
      <c r="B44" s="117">
        <v>29.714999999999996</v>
      </c>
      <c r="C44" s="117">
        <v>166.87599999999998</v>
      </c>
      <c r="D44" s="117">
        <f>'Vegetables 2014-15(Final)'!L38</f>
        <v>32.145059999999994</v>
      </c>
      <c r="E44" s="117">
        <f>'Vegetables 2014-15(Final)'!M38</f>
        <v>182.50330000000002</v>
      </c>
    </row>
    <row r="45" spans="1:5" ht="18.75" customHeight="1" x14ac:dyDescent="0.35">
      <c r="A45" s="118" t="s">
        <v>151</v>
      </c>
      <c r="B45" s="117">
        <v>62.411999999999999</v>
      </c>
      <c r="C45" s="117">
        <v>1073.711</v>
      </c>
      <c r="D45" s="117">
        <f>'Vegetables 2014-15(Final)'!N38</f>
        <v>64.203500000000005</v>
      </c>
      <c r="E45" s="117">
        <f>'Vegetables 2014-15(Final)'!O38</f>
        <v>968.3755000000001</v>
      </c>
    </row>
    <row r="46" spans="1:5" ht="18.75" customHeight="1" x14ac:dyDescent="0.35">
      <c r="A46" s="118" t="s">
        <v>80</v>
      </c>
      <c r="B46" s="117">
        <v>433.87299999999993</v>
      </c>
      <c r="C46" s="117">
        <v>8573.2759999999998</v>
      </c>
      <c r="D46" s="117">
        <f>'Vegetables 2014-15(Final)'!P38</f>
        <v>410.89920000000001</v>
      </c>
      <c r="E46" s="117">
        <f>'Vegetables 2014-15(Final)'!Q38</f>
        <v>7925.8496799999994</v>
      </c>
    </row>
    <row r="47" spans="1:5" ht="18.75" customHeight="1" x14ac:dyDescent="0.35">
      <c r="A47" s="118" t="s">
        <v>152</v>
      </c>
      <c r="B47" s="117">
        <v>43.275000000000006</v>
      </c>
      <c r="C47" s="117">
        <v>678.14595000000008</v>
      </c>
      <c r="D47" s="117">
        <f>'Vegetables 2014-15(Final)'!R38</f>
        <v>42.798300000000005</v>
      </c>
      <c r="E47" s="117">
        <f>'Vegetables 2014-15(Final)'!S38</f>
        <v>677.99894999999992</v>
      </c>
    </row>
    <row r="48" spans="1:5" ht="18.75" customHeight="1" x14ac:dyDescent="0.35">
      <c r="A48" s="118" t="s">
        <v>209</v>
      </c>
      <c r="B48" s="117">
        <v>140.04399999999998</v>
      </c>
      <c r="C48" s="117">
        <v>1687.3339999999998</v>
      </c>
      <c r="D48" s="117">
        <f>'Vegetables 2014-15(Final)'!T38</f>
        <v>181.3981</v>
      </c>
      <c r="E48" s="117">
        <f>'Vegetables 2014-15(Final)'!U38</f>
        <v>1997.6588200000003</v>
      </c>
    </row>
    <row r="49" spans="1:5" ht="18.75" customHeight="1" x14ac:dyDescent="0.35">
      <c r="A49" s="118" t="s">
        <v>210</v>
      </c>
      <c r="B49" s="117">
        <v>4.9020000000000001</v>
      </c>
      <c r="C49" s="117">
        <v>222.39399999999998</v>
      </c>
      <c r="D49" s="117">
        <f>'Vegetables 2014-15(Final)'!V38</f>
        <v>24.2273</v>
      </c>
      <c r="E49" s="117">
        <f>'Vegetables 2014-15(Final)'!W38</f>
        <v>677.68279999999993</v>
      </c>
    </row>
    <row r="50" spans="1:5" ht="18.75" customHeight="1" x14ac:dyDescent="0.35">
      <c r="A50" s="118" t="s">
        <v>153</v>
      </c>
      <c r="B50" s="117">
        <v>36.696999999999996</v>
      </c>
      <c r="C50" s="117">
        <v>760.80700000000002</v>
      </c>
      <c r="D50" s="117">
        <f>'Vegetables 2014-15(Final)'!X38</f>
        <v>42.069099999999999</v>
      </c>
      <c r="E50" s="117">
        <f>'Vegetables 2014-15(Final)'!Y38</f>
        <v>862.67840000000001</v>
      </c>
    </row>
    <row r="51" spans="1:5" ht="18.75" customHeight="1" x14ac:dyDescent="0.35">
      <c r="A51" s="118" t="s">
        <v>208</v>
      </c>
      <c r="B51" s="117"/>
      <c r="C51" s="117">
        <v>17.100999999999999</v>
      </c>
      <c r="D51" s="117"/>
      <c r="E51" s="117">
        <f>'Vegetables 2014-15(Final)'!AV38</f>
        <v>51.119830000000007</v>
      </c>
    </row>
    <row r="52" spans="1:5" ht="18.75" customHeight="1" x14ac:dyDescent="0.35">
      <c r="A52" s="118" t="s">
        <v>202</v>
      </c>
      <c r="B52" s="117">
        <v>532.65999999999985</v>
      </c>
      <c r="C52" s="117">
        <v>6346.3680000000004</v>
      </c>
      <c r="D52" s="117">
        <f>'Vegetables 2014-15(Final)'!Z38</f>
        <v>503.6816</v>
      </c>
      <c r="E52" s="117">
        <f>'Vegetables 2014-15(Final)'!AA38</f>
        <v>5708.6938000000018</v>
      </c>
    </row>
    <row r="53" spans="1:5" s="55" customFormat="1" ht="18.75" customHeight="1" x14ac:dyDescent="0.35">
      <c r="A53" s="121" t="s">
        <v>76</v>
      </c>
      <c r="B53" s="122">
        <v>1203.5650000000001</v>
      </c>
      <c r="C53" s="122">
        <v>19401.676999999996</v>
      </c>
      <c r="D53" s="122">
        <f>'Vegetables 2014-15(Final)'!AB38</f>
        <v>1173.3489999999999</v>
      </c>
      <c r="E53" s="122">
        <f>'Vegetables 2014-15(Final)'!AC38</f>
        <v>18927.413</v>
      </c>
    </row>
    <row r="54" spans="1:5" ht="18.75" customHeight="1" x14ac:dyDescent="0.35">
      <c r="A54" s="118" t="s">
        <v>211</v>
      </c>
      <c r="B54" s="117">
        <v>12.785</v>
      </c>
      <c r="C54" s="117">
        <v>169.45599999999999</v>
      </c>
      <c r="D54" s="117">
        <f>'Vegetables 2014-15(Final)'!AD38</f>
        <v>17.548500000000001</v>
      </c>
      <c r="E54" s="117">
        <f>'Vegetables 2014-15(Final)'!AE38</f>
        <v>346.54199999999997</v>
      </c>
    </row>
    <row r="55" spans="1:5" ht="18.75" customHeight="1" x14ac:dyDescent="0.35">
      <c r="A55" s="118" t="s">
        <v>81</v>
      </c>
      <c r="B55" s="117">
        <v>433.56400000000002</v>
      </c>
      <c r="C55" s="117">
        <v>3868.6349499999997</v>
      </c>
      <c r="D55" s="117">
        <f>'Vegetables 2014-15(Final)'!AF38</f>
        <v>475.89020000000005</v>
      </c>
      <c r="E55" s="117">
        <f>'Vegetables 2014-15(Final)'!AG38</f>
        <v>4651.5341000000008</v>
      </c>
    </row>
    <row r="56" spans="1:5" ht="18.75" customHeight="1" x14ac:dyDescent="0.35">
      <c r="A56" s="118" t="s">
        <v>75</v>
      </c>
      <c r="B56" s="117">
        <v>1973.1907000000001</v>
      </c>
      <c r="C56" s="117">
        <v>41555.384000000005</v>
      </c>
      <c r="D56" s="117">
        <f>'Vegetables 2014-15(Final)'!AH38</f>
        <v>2075.8843000000002</v>
      </c>
      <c r="E56" s="117">
        <f>'Vegetables 2014-15(Final)'!AI38</f>
        <v>48009.189999999995</v>
      </c>
    </row>
    <row r="57" spans="1:5" ht="18.75" customHeight="1" x14ac:dyDescent="0.35">
      <c r="A57" s="118" t="s">
        <v>154</v>
      </c>
      <c r="B57" s="117">
        <v>173.33199999999994</v>
      </c>
      <c r="C57" s="117">
        <v>2484.848</v>
      </c>
      <c r="D57" s="117">
        <f>'Vegetables 2014-15(Final)'!AJ38</f>
        <v>168.37900000000002</v>
      </c>
      <c r="E57" s="117">
        <f>'Vegetables 2014-15(Final)'!AK38</f>
        <v>2307.4525000000003</v>
      </c>
    </row>
    <row r="58" spans="1:5" ht="18.75" customHeight="1" x14ac:dyDescent="0.35">
      <c r="A58" s="118" t="s">
        <v>212</v>
      </c>
      <c r="B58" s="117">
        <v>19.759999999999998</v>
      </c>
      <c r="C58" s="117">
        <v>416.1049999999999</v>
      </c>
      <c r="D58" s="117">
        <f>'Vegetables 2014-15(Final)'!AL38</f>
        <v>49.015599999999999</v>
      </c>
      <c r="E58" s="117">
        <f>'Vegetables 2014-15(Final)'!AM38</f>
        <v>1122.4715200000001</v>
      </c>
    </row>
    <row r="59" spans="1:5" ht="18.75" customHeight="1" x14ac:dyDescent="0.35">
      <c r="A59" s="118" t="s">
        <v>83</v>
      </c>
      <c r="B59" s="117">
        <v>105.86899999999999</v>
      </c>
      <c r="C59" s="117">
        <v>1087.875</v>
      </c>
      <c r="D59" s="117">
        <f>'Vegetables 2014-15(Final)'!AN38</f>
        <v>106.85299999999998</v>
      </c>
      <c r="E59" s="117">
        <f>'Vegetables 2014-15(Final)'!AO38</f>
        <v>1227.8087500000001</v>
      </c>
    </row>
    <row r="60" spans="1:5" ht="18.75" customHeight="1" x14ac:dyDescent="0.35">
      <c r="A60" s="118" t="s">
        <v>82</v>
      </c>
      <c r="B60" s="117">
        <v>228.28300000000002</v>
      </c>
      <c r="C60" s="117">
        <v>8139.429000000001</v>
      </c>
      <c r="D60" s="117">
        <f>'Vegetables 2014-15(Final)'!AP38</f>
        <v>207.58780000000002</v>
      </c>
      <c r="E60" s="117">
        <f>'Vegetables 2014-15(Final)'!AQ38</f>
        <v>4372.6849000000002</v>
      </c>
    </row>
    <row r="61" spans="1:5" ht="18.75" customHeight="1" x14ac:dyDescent="0.35">
      <c r="A61" s="118" t="s">
        <v>77</v>
      </c>
      <c r="B61" s="117">
        <v>882.03200000000004</v>
      </c>
      <c r="C61" s="117">
        <v>18735.911999999997</v>
      </c>
      <c r="D61" s="117">
        <f>'Vegetables 2014-15(Final)'!AR38</f>
        <v>767.31679999999994</v>
      </c>
      <c r="E61" s="117">
        <f>'Vegetables 2014-15(Final)'!AS38</f>
        <v>16384.980490000005</v>
      </c>
    </row>
    <row r="62" spans="1:5" ht="18.75" customHeight="1" x14ac:dyDescent="0.35">
      <c r="A62" s="118" t="s">
        <v>155</v>
      </c>
      <c r="B62" s="117">
        <v>74.643999999999991</v>
      </c>
      <c r="C62" s="117">
        <v>1809.8264000000001</v>
      </c>
      <c r="D62" s="117">
        <f>'Vegetables 2014-15(Final)'!AT38</f>
        <v>83.583100000000002</v>
      </c>
      <c r="E62" s="117">
        <f>'Vegetables 2014-15(Final)'!AU38</f>
        <v>2049.2511999999997</v>
      </c>
    </row>
    <row r="63" spans="1:5" ht="18.75" customHeight="1" x14ac:dyDescent="0.35">
      <c r="A63" s="118" t="s">
        <v>73</v>
      </c>
      <c r="B63" s="117">
        <v>1574.3604999999998</v>
      </c>
      <c r="C63" s="117">
        <v>19108.158649999998</v>
      </c>
      <c r="D63" s="117">
        <f>'Vegetables 2014-15(Final)'!AW38</f>
        <v>1654.4444000000003</v>
      </c>
      <c r="E63" s="117">
        <f>'Vegetables 2014-15(Final)'!AX38</f>
        <v>25053.085739999999</v>
      </c>
    </row>
    <row r="64" spans="1:5" ht="18.75" customHeight="1" x14ac:dyDescent="0.35">
      <c r="A64" s="112" t="s">
        <v>223</v>
      </c>
      <c r="B64" s="120">
        <f>SUM(B39:B63)</f>
        <v>9396.0571999999993</v>
      </c>
      <c r="C64" s="120">
        <f>SUM(C39:C63)</f>
        <v>162896.91059000001</v>
      </c>
      <c r="D64" s="120">
        <f>SUM(D39:D63)</f>
        <v>9542.2328600000001</v>
      </c>
      <c r="E64" s="120">
        <f>SUM(E39:E63)</f>
        <v>169478.22816000003</v>
      </c>
    </row>
    <row r="65" spans="1:5" ht="18.75" customHeight="1" x14ac:dyDescent="0.35">
      <c r="A65" s="123"/>
      <c r="B65" s="117"/>
      <c r="C65" s="117"/>
      <c r="D65" s="117"/>
      <c r="E65" s="117"/>
    </row>
    <row r="66" spans="1:5" ht="18.75" customHeight="1" x14ac:dyDescent="0.35">
      <c r="A66" s="124" t="s">
        <v>84</v>
      </c>
      <c r="B66" s="120">
        <v>493.25200000000001</v>
      </c>
      <c r="C66" s="120">
        <v>895.30218000000002</v>
      </c>
      <c r="D66" s="120">
        <f>' Horticulture 2014-15(Final)'!I43</f>
        <v>658.77299999999991</v>
      </c>
      <c r="E66" s="120">
        <f>' Horticulture 2014-15(Final)'!J43</f>
        <v>999.67140200000006</v>
      </c>
    </row>
    <row r="67" spans="1:5" ht="18.75" customHeight="1" x14ac:dyDescent="0.35">
      <c r="A67" s="125"/>
      <c r="B67" s="117"/>
      <c r="C67" s="117"/>
      <c r="D67" s="117"/>
      <c r="E67" s="117"/>
    </row>
    <row r="68" spans="1:5" ht="18.75" customHeight="1" x14ac:dyDescent="0.35">
      <c r="A68" s="112"/>
      <c r="B68" s="117"/>
      <c r="C68" s="117"/>
      <c r="D68" s="117"/>
      <c r="E68" s="117"/>
    </row>
    <row r="69" spans="1:5" ht="18.75" customHeight="1" x14ac:dyDescent="0.35">
      <c r="A69" s="126" t="s">
        <v>205</v>
      </c>
      <c r="B69" s="117"/>
      <c r="C69" s="117">
        <v>542.53451752442004</v>
      </c>
      <c r="D69" s="120"/>
      <c r="E69" s="117">
        <f>'Flowers 2014-15(Final)'!AN39</f>
        <v>484.17296204761902</v>
      </c>
    </row>
    <row r="70" spans="1:5" ht="18.75" customHeight="1" x14ac:dyDescent="0.35">
      <c r="A70" s="126" t="s">
        <v>85</v>
      </c>
      <c r="B70" s="117">
        <v>255.02202999999997</v>
      </c>
      <c r="C70" s="117">
        <v>1754.4914969999998</v>
      </c>
      <c r="D70" s="117">
        <f>'Flowers 2014-15(Final)'!AL39</f>
        <v>248.5059</v>
      </c>
      <c r="E70" s="117">
        <f>'Flowers 2014-15(Final)'!AM39</f>
        <v>1658.7153807264956</v>
      </c>
    </row>
    <row r="71" spans="1:5" ht="18.75" customHeight="1" x14ac:dyDescent="0.35">
      <c r="A71" s="112" t="s">
        <v>224</v>
      </c>
      <c r="B71" s="120">
        <f>B70</f>
        <v>255.02202999999997</v>
      </c>
      <c r="C71" s="120">
        <f>C70+C69</f>
        <v>2297.0260145244197</v>
      </c>
      <c r="D71" s="120">
        <f>D69+D70</f>
        <v>248.5059</v>
      </c>
      <c r="E71" s="120">
        <f>E69+E70</f>
        <v>2142.8883427741148</v>
      </c>
    </row>
    <row r="72" spans="1:5" ht="18.75" customHeight="1" x14ac:dyDescent="0.35">
      <c r="A72" s="112"/>
      <c r="B72" s="120"/>
      <c r="C72" s="120"/>
      <c r="D72" s="117"/>
      <c r="E72" s="117"/>
    </row>
    <row r="73" spans="1:5" ht="18.75" customHeight="1" x14ac:dyDescent="0.35">
      <c r="A73" s="113" t="s">
        <v>213</v>
      </c>
      <c r="B73" s="120"/>
      <c r="C73" s="120">
        <v>76.149999999999991</v>
      </c>
      <c r="D73" s="117"/>
      <c r="E73" s="120">
        <f>' Horticulture 2014-15(Final)'!O43</f>
        <v>80.530000000000015</v>
      </c>
    </row>
    <row r="74" spans="1:5" ht="18.75" customHeight="1" x14ac:dyDescent="0.35">
      <c r="A74" s="113"/>
      <c r="B74" s="117"/>
      <c r="C74" s="117"/>
      <c r="D74" s="117"/>
      <c r="E74" s="117"/>
    </row>
    <row r="75" spans="1:5" ht="18.75" customHeight="1" x14ac:dyDescent="0.35">
      <c r="A75" s="113" t="s">
        <v>86</v>
      </c>
      <c r="B75" s="117"/>
      <c r="C75" s="117"/>
      <c r="D75" s="117"/>
      <c r="E75" s="117"/>
    </row>
    <row r="76" spans="1:5" ht="18.75" customHeight="1" x14ac:dyDescent="0.35">
      <c r="A76" s="122" t="s">
        <v>49</v>
      </c>
      <c r="B76" s="117">
        <v>451.90000000000003</v>
      </c>
      <c r="C76" s="117">
        <v>622.2700000000001</v>
      </c>
      <c r="D76" s="117">
        <f>' Plantations 2014-15(Final)'!B38</f>
        <v>450.20700000000005</v>
      </c>
      <c r="E76" s="117">
        <f>' Plantations 2014-15(Final)'!C38</f>
        <v>746.66300000000001</v>
      </c>
    </row>
    <row r="77" spans="1:5" ht="18.75" customHeight="1" x14ac:dyDescent="0.35">
      <c r="A77" s="122" t="s">
        <v>48</v>
      </c>
      <c r="B77" s="117">
        <v>1010.8469999999999</v>
      </c>
      <c r="C77" s="117">
        <v>753.16199999999992</v>
      </c>
      <c r="D77" s="117">
        <f>' Plantations 2014-15(Final)'!D38</f>
        <v>1029.5369999999998</v>
      </c>
      <c r="E77" s="117">
        <f>' Plantations 2014-15(Final)'!E38</f>
        <v>744.94399999999996</v>
      </c>
    </row>
    <row r="78" spans="1:5" ht="18.75" customHeight="1" x14ac:dyDescent="0.35">
      <c r="A78" s="122" t="s">
        <v>50</v>
      </c>
      <c r="B78" s="117">
        <v>71.365000000000009</v>
      </c>
      <c r="C78" s="117">
        <v>15.132999999999999</v>
      </c>
      <c r="D78" s="117">
        <f>' Plantations 2014-15(Final)'!F38</f>
        <v>78</v>
      </c>
      <c r="E78" s="117">
        <f>' Plantations 2014-15(Final)'!G38</f>
        <v>16.05</v>
      </c>
    </row>
    <row r="79" spans="1:5" ht="18.75" customHeight="1" x14ac:dyDescent="0.35">
      <c r="A79" s="122" t="s">
        <v>51</v>
      </c>
      <c r="B79" s="117">
        <v>2140.4850000000006</v>
      </c>
      <c r="C79" s="117">
        <v>14910.658475131428</v>
      </c>
      <c r="D79" s="117">
        <f>' Plantations 2014-15(Final)'!H38</f>
        <v>1975.7929999999997</v>
      </c>
      <c r="E79" s="117">
        <f>' Plantations 2014-15(Final)'!I38</f>
        <v>14067.169000000002</v>
      </c>
    </row>
    <row r="80" spans="1:5" ht="18.75" customHeight="1" x14ac:dyDescent="0.35">
      <c r="A80" s="127" t="s">
        <v>225</v>
      </c>
      <c r="B80" s="120">
        <f>SUM(B76:B79)</f>
        <v>3674.5970000000007</v>
      </c>
      <c r="C80" s="120">
        <f>SUM(C76:C79)</f>
        <v>16301.223475131428</v>
      </c>
      <c r="D80" s="120">
        <f>SUM(D76:D79)</f>
        <v>3533.5369999999994</v>
      </c>
      <c r="E80" s="120">
        <f>SUM(E76:E79)</f>
        <v>15574.826000000001</v>
      </c>
    </row>
    <row r="81" spans="1:5" ht="18.75" customHeight="1" x14ac:dyDescent="0.35">
      <c r="A81" s="127"/>
      <c r="B81" s="117"/>
      <c r="C81" s="117"/>
      <c r="D81" s="117"/>
      <c r="E81" s="117"/>
    </row>
    <row r="82" spans="1:5" ht="18.75" customHeight="1" x14ac:dyDescent="0.35">
      <c r="A82" s="124" t="s">
        <v>87</v>
      </c>
      <c r="B82" s="117"/>
      <c r="C82" s="117"/>
      <c r="D82" s="117"/>
      <c r="E82" s="117"/>
    </row>
    <row r="83" spans="1:5" ht="18.75" customHeight="1" x14ac:dyDescent="0.35">
      <c r="A83" s="128" t="s">
        <v>132</v>
      </c>
      <c r="B83" s="117">
        <v>26.669999999999998</v>
      </c>
      <c r="C83" s="117">
        <v>19.2</v>
      </c>
      <c r="D83" s="117">
        <f>' Spices 2014-15(Final)'!V34</f>
        <v>24.09</v>
      </c>
      <c r="E83" s="117">
        <f>' Spices 2014-15(Final)'!W34</f>
        <v>16.420000000000002</v>
      </c>
    </row>
    <row r="84" spans="1:5" ht="18.75" customHeight="1" x14ac:dyDescent="0.35">
      <c r="A84" s="128" t="s">
        <v>128</v>
      </c>
      <c r="B84" s="117">
        <v>92.84</v>
      </c>
      <c r="C84" s="117">
        <v>21.279999999999998</v>
      </c>
      <c r="D84" s="117">
        <f>' Spices 2014-15(Final)'!L34</f>
        <v>99.56</v>
      </c>
      <c r="E84" s="117">
        <f>' Spices 2014-15(Final)'!M34</f>
        <v>24.360000000000003</v>
      </c>
    </row>
    <row r="85" spans="1:5" ht="18.75" customHeight="1" x14ac:dyDescent="0.35">
      <c r="A85" s="128" t="s">
        <v>156</v>
      </c>
      <c r="B85" s="117">
        <v>774.87000000000012</v>
      </c>
      <c r="C85" s="117">
        <v>1492.1399999999999</v>
      </c>
      <c r="D85" s="117">
        <f>' Spices 2014-15(Final)'!F34</f>
        <v>760.9799999999999</v>
      </c>
      <c r="E85" s="117">
        <f>' Spices 2014-15(Final)'!G34</f>
        <v>1605.0099999999998</v>
      </c>
    </row>
    <row r="86" spans="1:5" ht="18.75" customHeight="1" x14ac:dyDescent="0.35">
      <c r="A86" s="128" t="s">
        <v>157</v>
      </c>
      <c r="B86" s="117">
        <v>2.77</v>
      </c>
      <c r="C86" s="117">
        <v>5.05</v>
      </c>
      <c r="D86" s="117">
        <f>' Spices 2014-15(Final)'!Z34</f>
        <v>2.7399999999999998</v>
      </c>
      <c r="E86" s="117">
        <f>' Spices 2014-15(Final)'!AA34</f>
        <v>5.05</v>
      </c>
    </row>
    <row r="87" spans="1:5" ht="18.75" customHeight="1" x14ac:dyDescent="0.35">
      <c r="A87" s="128" t="s">
        <v>164</v>
      </c>
      <c r="B87" s="117">
        <v>33.47</v>
      </c>
      <c r="C87" s="117">
        <v>32.64</v>
      </c>
      <c r="D87" s="117">
        <f>' Spices 2014-15(Final)'!X34</f>
        <v>24.270000000000003</v>
      </c>
      <c r="E87" s="117">
        <f>' Spices 2014-15(Final)'!Y34</f>
        <v>20.52</v>
      </c>
    </row>
    <row r="88" spans="1:5" ht="18.75" customHeight="1" x14ac:dyDescent="0.35">
      <c r="A88" s="128" t="s">
        <v>134</v>
      </c>
      <c r="B88" s="117">
        <v>2.06</v>
      </c>
      <c r="C88" s="117">
        <v>1.0699999999999998</v>
      </c>
      <c r="D88" s="117">
        <f>' Spices 2014-15(Final)'!AD34</f>
        <v>2.3200000000000003</v>
      </c>
      <c r="E88" s="117">
        <f>' Spices 2014-15(Final)'!AE34</f>
        <v>1.22</v>
      </c>
    </row>
    <row r="89" spans="1:5" ht="18.75" customHeight="1" x14ac:dyDescent="0.35">
      <c r="A89" s="128" t="s">
        <v>129</v>
      </c>
      <c r="B89" s="117">
        <v>447.12999999999994</v>
      </c>
      <c r="C89" s="117">
        <v>313.65000000000003</v>
      </c>
      <c r="D89" s="117">
        <f>' Spices 2014-15(Final)'!N34</f>
        <v>552.66</v>
      </c>
      <c r="E89" s="117">
        <f>' Spices 2014-15(Final)'!O34</f>
        <v>461.71000000000004</v>
      </c>
    </row>
    <row r="90" spans="1:5" ht="18.75" customHeight="1" x14ac:dyDescent="0.35">
      <c r="A90" s="128" t="s">
        <v>130</v>
      </c>
      <c r="B90" s="117">
        <v>858.9</v>
      </c>
      <c r="C90" s="117">
        <v>513.84999999999991</v>
      </c>
      <c r="D90" s="117">
        <f>' Spices 2014-15(Final)'!P34</f>
        <v>889.76</v>
      </c>
      <c r="E90" s="117">
        <f>' Spices 2014-15(Final)'!Q34</f>
        <v>485.50999999999993</v>
      </c>
    </row>
    <row r="91" spans="1:5" ht="18.75" customHeight="1" x14ac:dyDescent="0.35">
      <c r="A91" s="128" t="s">
        <v>198</v>
      </c>
      <c r="B91" s="117">
        <v>65.94</v>
      </c>
      <c r="C91" s="117">
        <v>89.61</v>
      </c>
      <c r="D91" s="117">
        <f>' Spices 2014-15(Final)'!T34</f>
        <v>123.35000000000001</v>
      </c>
      <c r="E91" s="117">
        <f>' Spices 2014-15(Final)'!U34</f>
        <v>130.82</v>
      </c>
    </row>
    <row r="92" spans="1:5" ht="18.75" customHeight="1" x14ac:dyDescent="0.35">
      <c r="A92" s="128" t="s">
        <v>131</v>
      </c>
      <c r="B92" s="117">
        <v>54.160000000000004</v>
      </c>
      <c r="C92" s="117">
        <v>70.12</v>
      </c>
      <c r="D92" s="117">
        <f>' Spices 2014-15(Final)'!R34</f>
        <v>38.659999999999997</v>
      </c>
      <c r="E92" s="117">
        <f>' Spices 2014-15(Final)'!S34</f>
        <v>59.750000000000007</v>
      </c>
    </row>
    <row r="93" spans="1:5" ht="18.75" customHeight="1" x14ac:dyDescent="0.35">
      <c r="A93" s="128" t="s">
        <v>127</v>
      </c>
      <c r="B93" s="117">
        <v>230.59</v>
      </c>
      <c r="C93" s="117">
        <v>1251.8799999999999</v>
      </c>
      <c r="D93" s="117">
        <f>' Spices 2014-15(Final)'!J34</f>
        <v>262.06</v>
      </c>
      <c r="E93" s="117">
        <f>' Spices 2014-15(Final)'!K34</f>
        <v>1425.46</v>
      </c>
    </row>
    <row r="94" spans="1:5" ht="18.75" customHeight="1" x14ac:dyDescent="0.35">
      <c r="A94" s="128" t="s">
        <v>125</v>
      </c>
      <c r="B94" s="117">
        <v>132.62100000000001</v>
      </c>
      <c r="C94" s="117">
        <v>655.06000000000006</v>
      </c>
      <c r="D94" s="117">
        <f>' Spices 2014-15(Final)'!D34</f>
        <v>141.65299999999999</v>
      </c>
      <c r="E94" s="117">
        <f>' Spices 2014-15(Final)'!E34</f>
        <v>760.31000000000006</v>
      </c>
    </row>
    <row r="95" spans="1:5" ht="18.75" customHeight="1" x14ac:dyDescent="0.35">
      <c r="A95" s="128" t="s">
        <v>133</v>
      </c>
      <c r="B95" s="117">
        <v>18.900000000000002</v>
      </c>
      <c r="C95" s="117">
        <v>12.78</v>
      </c>
      <c r="D95" s="117">
        <f>' Spices 2014-15(Final)'!AB34</f>
        <v>21.119999999999997</v>
      </c>
      <c r="E95" s="117">
        <f>' Spices 2014-15(Final)'!AC34</f>
        <v>14.4</v>
      </c>
    </row>
    <row r="96" spans="1:5" ht="18.75" customHeight="1" x14ac:dyDescent="0.35">
      <c r="A96" s="128" t="s">
        <v>124</v>
      </c>
      <c r="B96" s="117">
        <v>123.81</v>
      </c>
      <c r="C96" s="117">
        <v>50.86999999999999</v>
      </c>
      <c r="D96" s="117">
        <f>' Spices 2014-15(Final)'!B34</f>
        <v>128.67000000000002</v>
      </c>
      <c r="E96" s="117">
        <f>' Spices 2014-15(Final)'!C34</f>
        <v>64.64</v>
      </c>
    </row>
    <row r="97" spans="1:5" ht="18.75" customHeight="1" x14ac:dyDescent="0.35">
      <c r="A97" s="128" t="s">
        <v>158</v>
      </c>
      <c r="B97" s="117">
        <v>7.2500000000000009</v>
      </c>
      <c r="C97" s="117">
        <v>1.07</v>
      </c>
      <c r="D97" s="117">
        <f>' Spices 2014-15(Final)'!AH34</f>
        <v>6.4700000000000006</v>
      </c>
      <c r="E97" s="117">
        <f>' Spices 2014-15(Final)'!AI34</f>
        <v>1.05</v>
      </c>
    </row>
    <row r="98" spans="1:5" ht="18.75" customHeight="1" x14ac:dyDescent="0.35">
      <c r="A98" s="128" t="s">
        <v>135</v>
      </c>
      <c r="B98" s="117">
        <v>58.59</v>
      </c>
      <c r="C98" s="117">
        <v>188.13</v>
      </c>
      <c r="D98" s="117">
        <f>' Spices 2014-15(Final)'!AF34</f>
        <v>54.480000000000004</v>
      </c>
      <c r="E98" s="117">
        <f>' Spices 2014-15(Final)'!AG34</f>
        <v>201.66</v>
      </c>
    </row>
    <row r="99" spans="1:5" ht="18.75" customHeight="1" x14ac:dyDescent="0.35">
      <c r="A99" s="128" t="s">
        <v>126</v>
      </c>
      <c r="B99" s="117">
        <v>232.67000000000004</v>
      </c>
      <c r="C99" s="117">
        <v>1189.8899999999999</v>
      </c>
      <c r="D99" s="117">
        <f>' Spices 2014-15(Final)'!H34</f>
        <v>184.44000000000005</v>
      </c>
      <c r="E99" s="117">
        <f>' Spices 2014-15(Final)'!I34</f>
        <v>830.38999999999987</v>
      </c>
    </row>
    <row r="100" spans="1:5" ht="18.75" customHeight="1" x14ac:dyDescent="0.35">
      <c r="A100" s="129" t="s">
        <v>226</v>
      </c>
      <c r="B100" s="120">
        <f>SUM(B83:B99)</f>
        <v>3163.2410000000004</v>
      </c>
      <c r="C100" s="120">
        <f>SUM(C83:C99)</f>
        <v>5908.2899999999991</v>
      </c>
      <c r="D100" s="120">
        <f>SUM(D83:D99)</f>
        <v>3317.2829999999994</v>
      </c>
      <c r="E100" s="120">
        <f>SUM(E83:E99)</f>
        <v>6108.2800000000007</v>
      </c>
    </row>
    <row r="101" spans="1:5" ht="18.75" customHeight="1" x14ac:dyDescent="0.35">
      <c r="A101" s="129" t="s">
        <v>52</v>
      </c>
      <c r="B101" s="120">
        <f>B37+B64+B66+B71+B80+B100</f>
        <v>24198.481230000005</v>
      </c>
      <c r="C101" s="120">
        <f>C37+C64+C66+C71+C73+C80+C100</f>
        <v>277352.03670965583</v>
      </c>
      <c r="D101" s="120">
        <f>D37+D64+D66+D71+D80+D100</f>
        <v>23410.003159999997</v>
      </c>
      <c r="E101" s="120">
        <f>E37+E64+E66+E71+E80+E100+E73</f>
        <v>280986.10858877422</v>
      </c>
    </row>
    <row r="102" spans="1:5" ht="18.75" customHeight="1" x14ac:dyDescent="0.35">
      <c r="A102" s="130"/>
      <c r="B102" s="131"/>
      <c r="C102" s="131"/>
      <c r="D102" s="131"/>
      <c r="E102" s="131"/>
    </row>
    <row r="103" spans="1:5" ht="18.75" customHeight="1" x14ac:dyDescent="0.35">
      <c r="A103" s="132" t="s">
        <v>244</v>
      </c>
      <c r="B103" s="131"/>
      <c r="C103" s="131"/>
      <c r="D103" s="131"/>
      <c r="E103" s="131"/>
    </row>
    <row r="104" spans="1:5" ht="18.75" customHeight="1" x14ac:dyDescent="0.35">
      <c r="A104" s="12"/>
    </row>
    <row r="105" spans="1:5" ht="18.75" customHeight="1" x14ac:dyDescent="0.35">
      <c r="A105" s="12"/>
    </row>
    <row r="106" spans="1:5" ht="18.75" customHeight="1" x14ac:dyDescent="0.35">
      <c r="A106" s="13"/>
    </row>
  </sheetData>
  <mergeCells count="7">
    <mergeCell ref="B5:C5"/>
    <mergeCell ref="B4:C4"/>
    <mergeCell ref="A2:E2"/>
    <mergeCell ref="A3:E3"/>
    <mergeCell ref="A1:E1"/>
    <mergeCell ref="D4:E4"/>
    <mergeCell ref="D5:E5"/>
  </mergeCells>
  <pageMargins left="1" right="0.19" top="0.68" bottom="0.47" header="0.37" footer="0.24"/>
  <pageSetup scale="44" orientation="portrait" r:id="rId1"/>
  <headerFooter alignWithMargins="0">
    <oddHeader>&amp;R&amp;"Arial,Bold"&amp;12Annexure-II</oddHeader>
  </headerFooter>
  <rowBreaks count="1" manualBreakCount="1">
    <brk id="64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K16" sqref="K16"/>
    </sheetView>
  </sheetViews>
  <sheetFormatPr defaultRowHeight="12.75" x14ac:dyDescent="0.2"/>
  <cols>
    <col min="9" max="9" width="12.140625" bestFit="1" customWidth="1"/>
    <col min="11" max="11" width="11.140625" customWidth="1"/>
    <col min="18" max="18" width="11" bestFit="1" customWidth="1"/>
    <col min="20" max="20" width="11" bestFit="1" customWidth="1"/>
    <col min="21" max="21" width="12" bestFit="1" customWidth="1"/>
  </cols>
  <sheetData>
    <row r="1" spans="1:11" ht="16.5" thickBot="1" x14ac:dyDescent="0.25">
      <c r="A1" s="200" t="s">
        <v>247</v>
      </c>
      <c r="B1" s="200"/>
      <c r="C1" s="200"/>
      <c r="D1" s="200"/>
      <c r="E1" s="200"/>
      <c r="F1" s="200"/>
      <c r="G1" s="200"/>
      <c r="H1" s="200"/>
      <c r="I1" s="200"/>
    </row>
    <row r="2" spans="1:11" ht="60.75" customHeight="1" thickBot="1" x14ac:dyDescent="0.25">
      <c r="A2" s="201" t="s">
        <v>253</v>
      </c>
      <c r="B2" s="92" t="s">
        <v>255</v>
      </c>
      <c r="C2" s="203" t="s">
        <v>227</v>
      </c>
      <c r="D2" s="204"/>
      <c r="E2" s="204"/>
      <c r="F2" s="205"/>
      <c r="G2" s="93" t="s">
        <v>227</v>
      </c>
      <c r="H2" s="206" t="s">
        <v>256</v>
      </c>
      <c r="I2" s="206" t="s">
        <v>257</v>
      </c>
    </row>
    <row r="3" spans="1:11" ht="24.75" thickBot="1" x14ac:dyDescent="0.25">
      <c r="A3" s="202"/>
      <c r="B3" s="94" t="s">
        <v>222</v>
      </c>
      <c r="C3" s="95" t="s">
        <v>248</v>
      </c>
      <c r="D3" s="95" t="s">
        <v>249</v>
      </c>
      <c r="E3" s="94" t="s">
        <v>250</v>
      </c>
      <c r="F3" s="95" t="s">
        <v>251</v>
      </c>
      <c r="G3" s="96" t="s">
        <v>252</v>
      </c>
      <c r="H3" s="207"/>
      <c r="I3" s="208"/>
    </row>
    <row r="4" spans="1:11" ht="27" customHeight="1" thickBot="1" x14ac:dyDescent="0.25">
      <c r="A4" s="97" t="s">
        <v>228</v>
      </c>
      <c r="B4" s="101">
        <v>24198.481230000005</v>
      </c>
      <c r="C4" s="101">
        <v>24388.081900000005</v>
      </c>
      <c r="D4" s="98">
        <v>23417</v>
      </c>
      <c r="E4" s="98">
        <v>23216</v>
      </c>
      <c r="F4" s="99">
        <f>Summary!D101</f>
        <v>23410.003159999997</v>
      </c>
      <c r="G4" s="100" t="e">
        <f>Summary!#REF!</f>
        <v>#REF!</v>
      </c>
      <c r="H4" s="102">
        <f>(F4-B4)/B4*100</f>
        <v>-3.2583783358374356</v>
      </c>
      <c r="I4" s="103" t="e">
        <f>(G4-F4)/F4*100</f>
        <v>#REF!</v>
      </c>
    </row>
    <row r="5" spans="1:11" ht="22.5" customHeight="1" thickBot="1" x14ac:dyDescent="0.25">
      <c r="A5" s="97" t="s">
        <v>190</v>
      </c>
      <c r="B5" s="101">
        <v>277352.03670965583</v>
      </c>
      <c r="C5" s="101">
        <v>280484.42666956433</v>
      </c>
      <c r="D5" s="98">
        <v>283468</v>
      </c>
      <c r="E5" s="98">
        <v>277743</v>
      </c>
      <c r="F5" s="99">
        <f>Summary!E101</f>
        <v>280986.10858877422</v>
      </c>
      <c r="G5" s="100" t="e">
        <f>Summary!#REF!</f>
        <v>#REF!</v>
      </c>
      <c r="H5" s="102">
        <f>(F5-B5)/B5*100</f>
        <v>1.3102740914510371</v>
      </c>
      <c r="I5" s="103" t="e">
        <f>(G5-F5)/F5*100</f>
        <v>#REF!</v>
      </c>
    </row>
    <row r="11" spans="1:11" ht="36" customHeight="1" x14ac:dyDescent="0.2">
      <c r="A11" s="192" t="s">
        <v>258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1" ht="13.5" thickBot="1" x14ac:dyDescent="0.25">
      <c r="A12" s="193" t="s">
        <v>259</v>
      </c>
      <c r="B12" s="193"/>
      <c r="C12" s="193"/>
      <c r="D12" s="193"/>
      <c r="E12" s="193"/>
      <c r="F12" s="193"/>
      <c r="G12" s="193"/>
      <c r="H12" s="193"/>
      <c r="I12" s="193"/>
      <c r="J12" s="194"/>
      <c r="K12" s="194"/>
    </row>
    <row r="13" spans="1:11" ht="48.75" thickBot="1" x14ac:dyDescent="0.25">
      <c r="A13" s="135" t="s">
        <v>260</v>
      </c>
      <c r="B13" s="195" t="s">
        <v>255</v>
      </c>
      <c r="C13" s="196"/>
      <c r="D13" s="189" t="s">
        <v>227</v>
      </c>
      <c r="E13" s="196"/>
      <c r="F13" s="189" t="s">
        <v>246</v>
      </c>
      <c r="G13" s="190"/>
      <c r="H13" s="189" t="s">
        <v>264</v>
      </c>
      <c r="I13" s="190"/>
      <c r="J13" s="191" t="s">
        <v>265</v>
      </c>
      <c r="K13" s="191"/>
    </row>
    <row r="14" spans="1:11" ht="13.5" thickBot="1" x14ac:dyDescent="0.25">
      <c r="A14" s="136"/>
      <c r="B14" s="197" t="s">
        <v>251</v>
      </c>
      <c r="C14" s="198"/>
      <c r="D14" s="199" t="s">
        <v>251</v>
      </c>
      <c r="E14" s="198"/>
      <c r="F14" s="199" t="s">
        <v>263</v>
      </c>
      <c r="G14" s="198"/>
      <c r="H14" s="189" t="s">
        <v>254</v>
      </c>
      <c r="I14" s="209"/>
      <c r="J14" s="187"/>
      <c r="K14" s="188"/>
    </row>
    <row r="15" spans="1:11" ht="13.5" thickBot="1" x14ac:dyDescent="0.25">
      <c r="A15" s="137"/>
      <c r="B15" s="104" t="s">
        <v>228</v>
      </c>
      <c r="C15" s="104" t="s">
        <v>261</v>
      </c>
      <c r="D15" s="104" t="s">
        <v>228</v>
      </c>
      <c r="E15" s="104" t="s">
        <v>261</v>
      </c>
      <c r="F15" s="104" t="s">
        <v>228</v>
      </c>
      <c r="G15" s="104" t="s">
        <v>261</v>
      </c>
      <c r="H15" s="104" t="s">
        <v>228</v>
      </c>
      <c r="I15" s="104" t="s">
        <v>261</v>
      </c>
      <c r="J15" s="104" t="s">
        <v>228</v>
      </c>
      <c r="K15" s="104" t="s">
        <v>261</v>
      </c>
    </row>
    <row r="16" spans="1:11" ht="13.5" thickBot="1" x14ac:dyDescent="0.25">
      <c r="A16" s="105" t="s">
        <v>63</v>
      </c>
      <c r="B16" s="106">
        <v>7216</v>
      </c>
      <c r="C16" s="106">
        <v>88977</v>
      </c>
      <c r="D16" s="108">
        <f>Summary!D37</f>
        <v>6109.6714000000002</v>
      </c>
      <c r="E16" s="108">
        <f>Summary!E37</f>
        <v>86601.684683999993</v>
      </c>
      <c r="F16" s="108" t="e">
        <f>Summary!#REF!</f>
        <v>#REF!</v>
      </c>
      <c r="G16" s="108" t="e">
        <f>Summary!#REF!</f>
        <v>#REF!</v>
      </c>
      <c r="H16" s="110">
        <f>(D16-B16)/B16*100</f>
        <v>-15.331604767184034</v>
      </c>
      <c r="I16" s="110">
        <f>(E16-C16)/C16*100</f>
        <v>-2.6695835058498347</v>
      </c>
      <c r="J16" s="111" t="e">
        <f>(F16-D16)/D16*100</f>
        <v>#REF!</v>
      </c>
      <c r="K16" s="111" t="e">
        <f>(G16-E16)/E16*100</f>
        <v>#REF!</v>
      </c>
    </row>
    <row r="17" spans="1:11" ht="24.75" thickBot="1" x14ac:dyDescent="0.25">
      <c r="A17" s="105" t="s">
        <v>74</v>
      </c>
      <c r="B17" s="106">
        <v>9396</v>
      </c>
      <c r="C17" s="106">
        <v>162897</v>
      </c>
      <c r="D17" s="108">
        <f>Summary!D64</f>
        <v>9542.2328600000001</v>
      </c>
      <c r="E17" s="108">
        <f>Summary!E64</f>
        <v>169478.22816000003</v>
      </c>
      <c r="F17" s="108" t="e">
        <f>Summary!#REF!</f>
        <v>#REF!</v>
      </c>
      <c r="G17" s="108" t="e">
        <f>Summary!#REF!</f>
        <v>#REF!</v>
      </c>
      <c r="H17" s="110">
        <f t="shared" ref="H17:H22" si="0">(D17-B17)/B17*100</f>
        <v>1.5563309919114525</v>
      </c>
      <c r="I17" s="110">
        <f t="shared" ref="I17:I22" si="1">(E17-C17)/C17*100</f>
        <v>4.0401162452347359</v>
      </c>
      <c r="J17" s="111" t="e">
        <f t="shared" ref="J17:J22" si="2">(F17-D17)/D17*100</f>
        <v>#REF!</v>
      </c>
      <c r="K17" s="111" t="e">
        <f t="shared" ref="K17:K22" si="3">(G17-E17)/E17*100</f>
        <v>#REF!</v>
      </c>
    </row>
    <row r="18" spans="1:11" ht="13.5" thickBot="1" x14ac:dyDescent="0.25">
      <c r="A18" s="105" t="s">
        <v>262</v>
      </c>
      <c r="B18" s="106">
        <v>255</v>
      </c>
      <c r="C18" s="106">
        <v>2297</v>
      </c>
      <c r="D18" s="108">
        <f>Summary!D71</f>
        <v>248.5059</v>
      </c>
      <c r="E18" s="108">
        <f>Summary!E71</f>
        <v>2142.8883427741148</v>
      </c>
      <c r="F18" s="108" t="e">
        <f>Summary!#REF!</f>
        <v>#REF!</v>
      </c>
      <c r="G18" s="108" t="e">
        <f>Summary!#REF!</f>
        <v>#REF!</v>
      </c>
      <c r="H18" s="110">
        <f t="shared" si="0"/>
        <v>-2.546705882352942</v>
      </c>
      <c r="I18" s="110">
        <f t="shared" si="1"/>
        <v>-6.7092580420498562</v>
      </c>
      <c r="J18" s="111" t="e">
        <f t="shared" si="2"/>
        <v>#REF!</v>
      </c>
      <c r="K18" s="111" t="e">
        <f t="shared" si="3"/>
        <v>#REF!</v>
      </c>
    </row>
    <row r="19" spans="1:11" ht="13.5" thickBot="1" x14ac:dyDescent="0.25">
      <c r="A19" s="105" t="s">
        <v>84</v>
      </c>
      <c r="B19" s="106">
        <v>493</v>
      </c>
      <c r="C19" s="106">
        <v>895</v>
      </c>
      <c r="D19" s="108">
        <f>Summary!D66</f>
        <v>658.77299999999991</v>
      </c>
      <c r="E19" s="108">
        <f>Summary!E66</f>
        <v>999.67140200000006</v>
      </c>
      <c r="F19" s="108" t="e">
        <f>Summary!#REF!</f>
        <v>#REF!</v>
      </c>
      <c r="G19" s="108" t="e">
        <f>Summary!#REF!</f>
        <v>#REF!</v>
      </c>
      <c r="H19" s="110">
        <f t="shared" si="0"/>
        <v>33.625354969574019</v>
      </c>
      <c r="I19" s="110">
        <f t="shared" si="1"/>
        <v>11.695128715083806</v>
      </c>
      <c r="J19" s="111" t="e">
        <f t="shared" si="2"/>
        <v>#REF!</v>
      </c>
      <c r="K19" s="111" t="e">
        <f t="shared" si="3"/>
        <v>#REF!</v>
      </c>
    </row>
    <row r="20" spans="1:11" ht="24.75" thickBot="1" x14ac:dyDescent="0.25">
      <c r="A20" s="105" t="s">
        <v>86</v>
      </c>
      <c r="B20" s="106">
        <v>3675</v>
      </c>
      <c r="C20" s="106">
        <v>16301</v>
      </c>
      <c r="D20" s="108">
        <f>Summary!D80</f>
        <v>3533.5369999999994</v>
      </c>
      <c r="E20" s="108">
        <f>Summary!E80</f>
        <v>15574.826000000001</v>
      </c>
      <c r="F20" s="108" t="e">
        <f>Summary!#REF!</f>
        <v>#REF!</v>
      </c>
      <c r="G20" s="108" t="e">
        <f>Summary!#REF!</f>
        <v>#REF!</v>
      </c>
      <c r="H20" s="110">
        <f t="shared" si="0"/>
        <v>-3.8493333333333513</v>
      </c>
      <c r="I20" s="110">
        <f t="shared" si="1"/>
        <v>-4.4547819152199191</v>
      </c>
      <c r="J20" s="111" t="e">
        <f t="shared" si="2"/>
        <v>#REF!</v>
      </c>
      <c r="K20" s="111" t="e">
        <f t="shared" si="3"/>
        <v>#REF!</v>
      </c>
    </row>
    <row r="21" spans="1:11" ht="13.5" thickBot="1" x14ac:dyDescent="0.25">
      <c r="A21" s="105" t="s">
        <v>87</v>
      </c>
      <c r="B21" s="106">
        <v>3163</v>
      </c>
      <c r="C21" s="106">
        <v>5908</v>
      </c>
      <c r="D21" s="108">
        <f>Summary!D100</f>
        <v>3317.2829999999994</v>
      </c>
      <c r="E21" s="108">
        <f>Summary!E100</f>
        <v>6108.2800000000007</v>
      </c>
      <c r="F21" s="108" t="e">
        <f>Summary!#REF!</f>
        <v>#REF!</v>
      </c>
      <c r="G21" s="108" t="e">
        <f>Summary!#REF!</f>
        <v>#REF!</v>
      </c>
      <c r="H21" s="110">
        <f t="shared" si="0"/>
        <v>4.877742649383479</v>
      </c>
      <c r="I21" s="110">
        <f t="shared" si="1"/>
        <v>3.389979688557899</v>
      </c>
      <c r="J21" s="111" t="e">
        <f t="shared" si="2"/>
        <v>#REF!</v>
      </c>
      <c r="K21" s="111" t="e">
        <f t="shared" si="3"/>
        <v>#REF!</v>
      </c>
    </row>
    <row r="22" spans="1:11" ht="13.5" thickBot="1" x14ac:dyDescent="0.25">
      <c r="A22" s="107" t="s">
        <v>9</v>
      </c>
      <c r="B22" s="104">
        <v>24198</v>
      </c>
      <c r="C22" s="104">
        <v>277352</v>
      </c>
      <c r="D22" s="109">
        <f>Summary!D101</f>
        <v>23410.003159999997</v>
      </c>
      <c r="E22" s="109">
        <f>Summary!E101</f>
        <v>280986.10858877422</v>
      </c>
      <c r="F22" s="109" t="e">
        <f>Summary!#REF!</f>
        <v>#REF!</v>
      </c>
      <c r="G22" s="109" t="e">
        <f>Summary!#REF!</f>
        <v>#REF!</v>
      </c>
      <c r="H22" s="110">
        <f t="shared" si="0"/>
        <v>-3.2564544177204868</v>
      </c>
      <c r="I22" s="110">
        <f t="shared" si="1"/>
        <v>1.3102875006397008</v>
      </c>
      <c r="J22" s="111" t="e">
        <f t="shared" si="2"/>
        <v>#REF!</v>
      </c>
      <c r="K22" s="111" t="e">
        <f t="shared" si="3"/>
        <v>#REF!</v>
      </c>
    </row>
  </sheetData>
  <mergeCells count="17">
    <mergeCell ref="A1:I1"/>
    <mergeCell ref="A2:A3"/>
    <mergeCell ref="C2:F2"/>
    <mergeCell ref="H2:H3"/>
    <mergeCell ref="I2:I3"/>
    <mergeCell ref="H14:I14"/>
    <mergeCell ref="F14:G14"/>
    <mergeCell ref="J14:K14"/>
    <mergeCell ref="H13:I13"/>
    <mergeCell ref="J13:K13"/>
    <mergeCell ref="A11:K11"/>
    <mergeCell ref="A12:K12"/>
    <mergeCell ref="B13:C13"/>
    <mergeCell ref="D13:E13"/>
    <mergeCell ref="F13:G13"/>
    <mergeCell ref="B14:C14"/>
    <mergeCell ref="D14:E14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pane xSplit="1" ySplit="6" topLeftCell="D7" activePane="bottomRight" state="frozen"/>
      <selection pane="topRight" activeCell="B1" sqref="B1"/>
      <selection pane="bottomLeft" activeCell="A4" sqref="A4"/>
      <selection pane="bottomRight" activeCell="G5" sqref="G5:H5"/>
    </sheetView>
  </sheetViews>
  <sheetFormatPr defaultColWidth="12.7109375" defaultRowHeight="14.25" customHeight="1" x14ac:dyDescent="0.2"/>
  <cols>
    <col min="1" max="1" width="24.7109375" style="69" customWidth="1"/>
    <col min="2" max="4" width="10.7109375" style="69" customWidth="1"/>
    <col min="5" max="5" width="12.7109375" style="69" customWidth="1"/>
    <col min="6" max="14" width="10.7109375" style="69" customWidth="1"/>
    <col min="15" max="16" width="9.5703125" style="69" customWidth="1"/>
    <col min="17" max="17" width="10.85546875" style="69" customWidth="1"/>
    <col min="18" max="16384" width="12.7109375" style="69"/>
  </cols>
  <sheetData>
    <row r="1" spans="1:17" ht="24.75" customHeight="1" x14ac:dyDescent="0.25">
      <c r="A1" s="152" t="s">
        <v>266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ht="14.25" customHeight="1" x14ac:dyDescent="0.2">
      <c r="A2" s="153" t="s">
        <v>191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7" ht="14.25" customHeight="1" x14ac:dyDescent="0.2">
      <c r="A3" s="154" t="s">
        <v>192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40.5" customHeight="1" x14ac:dyDescent="0.25">
      <c r="A4" s="67" t="s">
        <v>204</v>
      </c>
      <c r="B4" s="148" t="s">
        <v>57</v>
      </c>
      <c r="C4" s="149"/>
      <c r="D4" s="150" t="s">
        <v>199</v>
      </c>
      <c r="E4" s="150"/>
      <c r="F4" s="150" t="s">
        <v>58</v>
      </c>
      <c r="G4" s="150"/>
      <c r="H4" s="150"/>
      <c r="I4" s="151" t="s">
        <v>245</v>
      </c>
      <c r="J4" s="148"/>
      <c r="K4" s="150" t="s">
        <v>59</v>
      </c>
      <c r="L4" s="150"/>
      <c r="M4" s="149" t="s">
        <v>200</v>
      </c>
      <c r="N4" s="149"/>
      <c r="O4" s="68" t="s">
        <v>214</v>
      </c>
      <c r="P4" s="156" t="s">
        <v>9</v>
      </c>
      <c r="Q4" s="150"/>
    </row>
    <row r="5" spans="1:17" ht="15.75" customHeight="1" x14ac:dyDescent="0.25">
      <c r="A5" s="70"/>
      <c r="B5" s="68" t="s">
        <v>47</v>
      </c>
      <c r="C5" s="70" t="s">
        <v>10</v>
      </c>
      <c r="D5" s="70" t="s">
        <v>47</v>
      </c>
      <c r="E5" s="70" t="s">
        <v>10</v>
      </c>
      <c r="F5" s="70" t="s">
        <v>47</v>
      </c>
      <c r="G5" s="151" t="s">
        <v>10</v>
      </c>
      <c r="H5" s="148"/>
      <c r="I5" s="70" t="s">
        <v>47</v>
      </c>
      <c r="J5" s="70" t="s">
        <v>10</v>
      </c>
      <c r="K5" s="70" t="s">
        <v>47</v>
      </c>
      <c r="L5" s="70" t="s">
        <v>10</v>
      </c>
      <c r="M5" s="70" t="s">
        <v>47</v>
      </c>
      <c r="N5" s="70" t="s">
        <v>10</v>
      </c>
      <c r="O5" s="70" t="s">
        <v>10</v>
      </c>
      <c r="P5" s="70" t="s">
        <v>47</v>
      </c>
      <c r="Q5" s="70" t="s">
        <v>10</v>
      </c>
    </row>
    <row r="6" spans="1:17" ht="15.75" customHeight="1" x14ac:dyDescent="0.25">
      <c r="A6" s="70"/>
      <c r="B6" s="71"/>
      <c r="C6" s="72"/>
      <c r="D6" s="72"/>
      <c r="E6" s="72"/>
      <c r="F6" s="72"/>
      <c r="G6" s="73" t="s">
        <v>60</v>
      </c>
      <c r="H6" s="73" t="s">
        <v>61</v>
      </c>
      <c r="I6" s="72"/>
      <c r="J6" s="72"/>
      <c r="K6" s="72"/>
      <c r="L6" s="72"/>
      <c r="M6" s="72"/>
      <c r="N6" s="72"/>
      <c r="O6" s="71"/>
      <c r="P6" s="74"/>
      <c r="Q6" s="75"/>
    </row>
    <row r="7" spans="1:17" ht="15.75" customHeight="1" x14ac:dyDescent="0.25">
      <c r="A7" s="65" t="s">
        <v>53</v>
      </c>
      <c r="B7" s="76">
        <f>' Fruits 2014-15(Final)'!BB3</f>
        <v>3.6760000000000002</v>
      </c>
      <c r="C7" s="76">
        <f>' Fruits 2014-15(Final)'!BC3</f>
        <v>31.597999999999995</v>
      </c>
      <c r="D7" s="76">
        <f>'Vegetables 2014-15(Final)'!AY3</f>
        <v>6.7240000000000002</v>
      </c>
      <c r="E7" s="76">
        <f>'Vegetables 2014-15(Final)'!AZ3</f>
        <v>50.870999999999995</v>
      </c>
      <c r="F7" s="76">
        <f>'Flowers 2014-15(Final)'!AL4</f>
        <v>0.184</v>
      </c>
      <c r="G7" s="76">
        <f>'Flowers 2014-15(Final)'!AM4</f>
        <v>0.189</v>
      </c>
      <c r="H7" s="76">
        <f>'Flowers 2014-15(Final)'!AN4</f>
        <v>0</v>
      </c>
      <c r="I7" s="76"/>
      <c r="J7" s="76"/>
      <c r="K7" s="76">
        <f>' Spices 2014-15(Final)'!AJ3</f>
        <v>1.6749999999999998</v>
      </c>
      <c r="L7" s="76">
        <f>' Spices 2014-15(Final)'!AK3</f>
        <v>3.2199999999999998</v>
      </c>
      <c r="M7" s="72">
        <f>' Plantations 2014-15(Final)'!J3</f>
        <v>27.273</v>
      </c>
      <c r="N7" s="72">
        <f>' Plantations 2014-15(Final)'!K3</f>
        <v>95.522999999999996</v>
      </c>
      <c r="O7" s="76"/>
      <c r="P7" s="77">
        <f>B7+D7+F7+I7+K7+M7</f>
        <v>39.531999999999996</v>
      </c>
      <c r="Q7" s="77">
        <f>C7+E7+G7+H7+J7+L7+N7+O7</f>
        <v>181.40099999999998</v>
      </c>
    </row>
    <row r="8" spans="1:17" ht="15.75" customHeight="1" x14ac:dyDescent="0.25">
      <c r="A8" s="65" t="s">
        <v>12</v>
      </c>
      <c r="B8" s="76">
        <f>' Fruits 2014-15(Final)'!BB4</f>
        <v>545.85599999999999</v>
      </c>
      <c r="C8" s="76">
        <f>' Fruits 2014-15(Final)'!BC4</f>
        <v>9121.6229999999996</v>
      </c>
      <c r="D8" s="76">
        <f>'Vegetables 2014-15(Final)'!AY4</f>
        <v>242.18299999999994</v>
      </c>
      <c r="E8" s="76">
        <f>'Vegetables 2014-15(Final)'!AZ4</f>
        <v>4592.5839999999989</v>
      </c>
      <c r="F8" s="76">
        <f>'Flowers 2014-15(Final)'!AL5</f>
        <v>15.679999999999998</v>
      </c>
      <c r="G8" s="76">
        <f>'Flowers 2014-15(Final)'!AM5</f>
        <v>106.12899999999999</v>
      </c>
      <c r="H8" s="76">
        <f>'Flowers 2014-15(Final)'!AN5</f>
        <v>28.307692307692307</v>
      </c>
      <c r="I8" s="76">
        <v>0.45</v>
      </c>
      <c r="J8" s="76">
        <v>1.1879999999999999</v>
      </c>
      <c r="K8" s="76">
        <f>' Spices 2014-15(Final)'!AJ4</f>
        <v>200.667</v>
      </c>
      <c r="L8" s="76">
        <f>' Spices 2014-15(Final)'!AK4</f>
        <v>918.0100000000001</v>
      </c>
      <c r="M8" s="72">
        <f>' Plantations 2014-15(Final)'!J4</f>
        <v>315.40199999999993</v>
      </c>
      <c r="N8" s="72">
        <f>' Plantations 2014-15(Final)'!K4</f>
        <v>1113.9100000000001</v>
      </c>
      <c r="O8" s="76">
        <v>1.6</v>
      </c>
      <c r="P8" s="77">
        <f t="shared" ref="P8:P41" si="0">B8+D8+F8+I8+K8+M8</f>
        <v>1320.2379999999998</v>
      </c>
      <c r="Q8" s="77">
        <f t="shared" ref="Q8:Q41" si="1">C8+E8+G8+H8+J8+L8+N8+O8</f>
        <v>15883.351692307691</v>
      </c>
    </row>
    <row r="9" spans="1:17" ht="15.75" customHeight="1" x14ac:dyDescent="0.25">
      <c r="A9" s="65" t="s">
        <v>13</v>
      </c>
      <c r="B9" s="76">
        <f>' Fruits 2014-15(Final)'!BB5</f>
        <v>90</v>
      </c>
      <c r="C9" s="76">
        <f>' Fruits 2014-15(Final)'!BC5</f>
        <v>331.40000000000003</v>
      </c>
      <c r="D9" s="76">
        <f>'Vegetables 2014-15(Final)'!AY5</f>
        <v>1.7000000000000002</v>
      </c>
      <c r="E9" s="76">
        <f>'Vegetables 2014-15(Final)'!AZ5</f>
        <v>41</v>
      </c>
      <c r="F9" s="76">
        <f>'Flowers 2014-15(Final)'!AL6</f>
        <v>2.3099999999999999E-2</v>
      </c>
      <c r="G9" s="76">
        <f>'Flowers 2014-15(Final)'!AM6</f>
        <v>9.7999999999999997E-3</v>
      </c>
      <c r="H9" s="76">
        <f>'Flowers 2014-15(Final)'!AN6</f>
        <v>1.862686202686203</v>
      </c>
      <c r="I9" s="76">
        <v>5.1479999999999997</v>
      </c>
      <c r="J9" s="76">
        <v>109.178</v>
      </c>
      <c r="K9" s="76">
        <f>' Spices 2014-15(Final)'!AJ5</f>
        <v>10.17</v>
      </c>
      <c r="L9" s="76">
        <f>' Spices 2014-15(Final)'!AK5</f>
        <v>64.27000000000001</v>
      </c>
      <c r="M9" s="72">
        <f>' Plantations 2014-15(Final)'!J5</f>
        <v>0</v>
      </c>
      <c r="N9" s="72">
        <f>' Plantations 2014-15(Final)'!K5</f>
        <v>0</v>
      </c>
      <c r="O9" s="76"/>
      <c r="P9" s="77">
        <f t="shared" si="0"/>
        <v>107.0411</v>
      </c>
      <c r="Q9" s="77">
        <f t="shared" si="1"/>
        <v>547.72048620268617</v>
      </c>
    </row>
    <row r="10" spans="1:17" ht="15.75" customHeight="1" x14ac:dyDescent="0.25">
      <c r="A10" s="65" t="s">
        <v>14</v>
      </c>
      <c r="B10" s="76">
        <f>' Fruits 2014-15(Final)'!BB6</f>
        <v>145.21299999999999</v>
      </c>
      <c r="C10" s="76">
        <f>' Fruits 2014-15(Final)'!BC6</f>
        <v>2030.1399999999999</v>
      </c>
      <c r="D10" s="76">
        <f>'Vegetables 2014-15(Final)'!AY6</f>
        <v>289.26400000000001</v>
      </c>
      <c r="E10" s="76">
        <f>'Vegetables 2014-15(Final)'!AZ6</f>
        <v>4469.732</v>
      </c>
      <c r="F10" s="76">
        <f>'Flowers 2014-15(Final)'!AL7</f>
        <v>3.5300000000000002</v>
      </c>
      <c r="G10" s="76">
        <f>'Flowers 2014-15(Final)'!AM7</f>
        <v>22.8</v>
      </c>
      <c r="H10" s="76">
        <f>'Flowers 2014-15(Final)'!AN7</f>
        <v>33.03641770451771</v>
      </c>
      <c r="I10" s="76">
        <v>4.3929999999999998</v>
      </c>
      <c r="J10" s="76">
        <v>0.16200000000000001</v>
      </c>
      <c r="K10" s="76">
        <f>' Spices 2014-15(Final)'!AJ6</f>
        <v>98.597000000000008</v>
      </c>
      <c r="L10" s="76">
        <f>' Spices 2014-15(Final)'!AK6</f>
        <v>321.02999999999997</v>
      </c>
      <c r="M10" s="72">
        <f>' Plantations 2014-15(Final)'!J6</f>
        <v>98.759999999999991</v>
      </c>
      <c r="N10" s="72">
        <f>' Plantations 2014-15(Final)'!K6</f>
        <v>238.06299999999999</v>
      </c>
      <c r="O10" s="76">
        <v>0.25</v>
      </c>
      <c r="P10" s="77">
        <f t="shared" si="0"/>
        <v>639.75699999999995</v>
      </c>
      <c r="Q10" s="77">
        <f t="shared" si="1"/>
        <v>7115.2134177045173</v>
      </c>
    </row>
    <row r="11" spans="1:17" ht="15.75" customHeight="1" x14ac:dyDescent="0.25">
      <c r="A11" s="65" t="s">
        <v>15</v>
      </c>
      <c r="B11" s="76">
        <f>' Fruits 2014-15(Final)'!BB7</f>
        <v>301</v>
      </c>
      <c r="C11" s="76">
        <f>' Fruits 2014-15(Final)'!BC7</f>
        <v>3990</v>
      </c>
      <c r="D11" s="76">
        <f>'Vegetables 2014-15(Final)'!AY7</f>
        <v>841.99599999999975</v>
      </c>
      <c r="E11" s="76">
        <f>'Vegetables 2014-15(Final)'!AZ7</f>
        <v>14467.144999999999</v>
      </c>
      <c r="F11" s="76">
        <f>'Flowers 2014-15(Final)'!AL8</f>
        <v>1.427</v>
      </c>
      <c r="G11" s="76">
        <f>'Flowers 2014-15(Final)'!AM8</f>
        <v>13.681000000000001</v>
      </c>
      <c r="H11" s="76">
        <f>'Flowers 2014-15(Final)'!AN8</f>
        <v>2.7635384615384613</v>
      </c>
      <c r="I11" s="76">
        <v>4</v>
      </c>
      <c r="J11" s="76">
        <v>1</v>
      </c>
      <c r="K11" s="76">
        <f>' Spices 2014-15(Final)'!AJ7</f>
        <v>13.010000000000002</v>
      </c>
      <c r="L11" s="76">
        <f>' Spices 2014-15(Final)'!AK7</f>
        <v>12.54</v>
      </c>
      <c r="M11" s="72">
        <f>' Plantations 2014-15(Final)'!J7</f>
        <v>14.9</v>
      </c>
      <c r="N11" s="72">
        <f>' Plantations 2014-15(Final)'!K7</f>
        <v>97.3</v>
      </c>
      <c r="O11" s="76">
        <v>7.8</v>
      </c>
      <c r="P11" s="77">
        <f t="shared" si="0"/>
        <v>1176.3329999999996</v>
      </c>
      <c r="Q11" s="77">
        <f t="shared" si="1"/>
        <v>18592.229538461535</v>
      </c>
    </row>
    <row r="12" spans="1:17" ht="15.75" customHeight="1" x14ac:dyDescent="0.25">
      <c r="A12" s="65" t="s">
        <v>54</v>
      </c>
      <c r="B12" s="76">
        <f>' Fruits 2014-15(Final)'!BB8</f>
        <v>192.08500000000001</v>
      </c>
      <c r="C12" s="76">
        <f>' Fruits 2014-15(Final)'!BC8</f>
        <v>2071.1439999999998</v>
      </c>
      <c r="D12" s="76">
        <f>'Vegetables 2014-15(Final)'!AY8</f>
        <v>425.065</v>
      </c>
      <c r="E12" s="76">
        <f>'Vegetables 2014-15(Final)'!AZ8</f>
        <v>5812.3220000000001</v>
      </c>
      <c r="F12" s="76">
        <f>'Flowers 2014-15(Final)'!AL9</f>
        <v>10.960999999999999</v>
      </c>
      <c r="G12" s="76">
        <f>'Flowers 2014-15(Final)'!AM9</f>
        <v>50.028999999999996</v>
      </c>
      <c r="H12" s="76">
        <f>'Flowers 2014-15(Final)'!AN9</f>
        <v>0</v>
      </c>
      <c r="I12" s="76">
        <v>7.9530000000000003</v>
      </c>
      <c r="J12" s="76">
        <v>55.192999999999998</v>
      </c>
      <c r="K12" s="76">
        <f>' Spices 2014-15(Final)'!AJ8</f>
        <v>11.689</v>
      </c>
      <c r="L12" s="76">
        <f>' Spices 2014-15(Final)'!AK8</f>
        <v>11.65</v>
      </c>
      <c r="M12" s="72">
        <f>' Plantations 2014-15(Final)'!J8</f>
        <v>15.405999999999999</v>
      </c>
      <c r="N12" s="72">
        <f>' Plantations 2014-15(Final)'!K8</f>
        <v>27.669</v>
      </c>
      <c r="O12" s="76">
        <v>0.55000000000000004</v>
      </c>
      <c r="P12" s="77">
        <f t="shared" si="0"/>
        <v>663.15899999999988</v>
      </c>
      <c r="Q12" s="77">
        <f t="shared" si="1"/>
        <v>8028.5570000000007</v>
      </c>
    </row>
    <row r="13" spans="1:17" ht="15.75" customHeight="1" x14ac:dyDescent="0.25">
      <c r="A13" s="65" t="s">
        <v>16</v>
      </c>
      <c r="B13" s="76">
        <f>' Fruits 2014-15(Final)'!BB9</f>
        <v>0</v>
      </c>
      <c r="C13" s="76">
        <f>' Fruits 2014-15(Final)'!BC9</f>
        <v>0</v>
      </c>
      <c r="D13" s="76">
        <f>'Vegetables 2014-15(Final)'!AY9</f>
        <v>1.1000000000000001</v>
      </c>
      <c r="E13" s="76">
        <f>'Vegetables 2014-15(Final)'!AZ9</f>
        <v>5.5</v>
      </c>
      <c r="F13" s="76">
        <f>'Flowers 2014-15(Final)'!AL10</f>
        <v>0</v>
      </c>
      <c r="G13" s="76">
        <f>'Flowers 2014-15(Final)'!AM10</f>
        <v>0</v>
      </c>
      <c r="H13" s="76">
        <f>'Flowers 2014-15(Final)'!AN10</f>
        <v>0</v>
      </c>
      <c r="I13" s="76"/>
      <c r="J13" s="76"/>
      <c r="K13" s="76"/>
      <c r="L13" s="76"/>
      <c r="M13" s="72">
        <f>' Plantations 2014-15(Final)'!J9</f>
        <v>0</v>
      </c>
      <c r="N13" s="72">
        <f>' Plantations 2014-15(Final)'!K9</f>
        <v>0</v>
      </c>
      <c r="O13" s="76"/>
      <c r="P13" s="77">
        <f t="shared" si="0"/>
        <v>1.1000000000000001</v>
      </c>
      <c r="Q13" s="77">
        <f t="shared" si="1"/>
        <v>5.5</v>
      </c>
    </row>
    <row r="14" spans="1:17" ht="15.75" customHeight="1" x14ac:dyDescent="0.25">
      <c r="A14" s="65" t="s">
        <v>17</v>
      </c>
      <c r="B14" s="76">
        <f>' Fruits 2014-15(Final)'!BB10</f>
        <v>0.2462</v>
      </c>
      <c r="C14" s="76">
        <f>' Fruits 2014-15(Final)'!BC10</f>
        <v>2.593</v>
      </c>
      <c r="D14" s="76">
        <f>'Vegetables 2014-15(Final)'!AY10</f>
        <v>7.7000000000000013E-2</v>
      </c>
      <c r="E14" s="76">
        <f>'Vegetables 2014-15(Final)'!AZ10</f>
        <v>3.9119999999999999</v>
      </c>
      <c r="F14" s="76">
        <f>'Flowers 2014-15(Final)'!AL11</f>
        <v>5.0000000000000001E-3</v>
      </c>
      <c r="G14" s="76">
        <f>'Flowers 2014-15(Final)'!AM11</f>
        <v>0.03</v>
      </c>
      <c r="H14" s="76">
        <f>'Flowers 2014-15(Final)'!AN11</f>
        <v>0</v>
      </c>
      <c r="I14" s="76"/>
      <c r="J14" s="76"/>
      <c r="K14" s="76"/>
      <c r="L14" s="76"/>
      <c r="M14" s="72">
        <f>' Plantations 2014-15(Final)'!J10</f>
        <v>2E-3</v>
      </c>
      <c r="N14" s="72">
        <f>' Plantations 2014-15(Final)'!K10</f>
        <v>9.6300000000000008</v>
      </c>
      <c r="O14" s="76"/>
      <c r="P14" s="77">
        <f t="shared" si="0"/>
        <v>0.33020000000000005</v>
      </c>
      <c r="Q14" s="77">
        <f t="shared" si="1"/>
        <v>16.164999999999999</v>
      </c>
    </row>
    <row r="15" spans="1:17" ht="15.75" customHeight="1" x14ac:dyDescent="0.25">
      <c r="A15" s="65" t="s">
        <v>18</v>
      </c>
      <c r="B15" s="76">
        <f>' Fruits 2014-15(Final)'!BB11</f>
        <v>8.2000000000000003E-2</v>
      </c>
      <c r="C15" s="76">
        <f>' Fruits 2014-15(Final)'!BC11</f>
        <v>0.60099999999999998</v>
      </c>
      <c r="D15" s="76">
        <f>'Vegetables 2014-15(Final)'!AY11</f>
        <v>22.836999999999996</v>
      </c>
      <c r="E15" s="76">
        <f>'Vegetables 2014-15(Final)'!AZ11</f>
        <v>391.90100000000007</v>
      </c>
      <c r="F15" s="76">
        <f>'Flowers 2014-15(Final)'!AL12</f>
        <v>0</v>
      </c>
      <c r="G15" s="76">
        <f>'Flowers 2014-15(Final)'!AM12</f>
        <v>0</v>
      </c>
      <c r="H15" s="76">
        <f>'Flowers 2014-15(Final)'!AN12</f>
        <v>0</v>
      </c>
      <c r="I15" s="76"/>
      <c r="J15" s="76"/>
      <c r="K15" s="76"/>
      <c r="L15" s="76"/>
      <c r="M15" s="72">
        <f>' Plantations 2014-15(Final)'!J11</f>
        <v>0</v>
      </c>
      <c r="N15" s="72">
        <f>' Plantations 2014-15(Final)'!K11</f>
        <v>0</v>
      </c>
      <c r="O15" s="76"/>
      <c r="P15" s="77">
        <f t="shared" si="0"/>
        <v>22.918999999999997</v>
      </c>
      <c r="Q15" s="77">
        <f t="shared" si="1"/>
        <v>392.50200000000007</v>
      </c>
    </row>
    <row r="16" spans="1:17" ht="15.75" customHeight="1" x14ac:dyDescent="0.25">
      <c r="A16" s="65" t="s">
        <v>19</v>
      </c>
      <c r="B16" s="76">
        <f>' Fruits 2014-15(Final)'!BB12</f>
        <v>11.457000000000001</v>
      </c>
      <c r="C16" s="76">
        <f>' Fruits 2014-15(Final)'!BC12</f>
        <v>83.096000000000004</v>
      </c>
      <c r="D16" s="76">
        <f>'Vegetables 2014-15(Final)'!AY12</f>
        <v>7.1879999999999997</v>
      </c>
      <c r="E16" s="76">
        <f>'Vegetables 2014-15(Final)'!AZ12</f>
        <v>82.001000000000005</v>
      </c>
      <c r="F16" s="76">
        <f>'Flowers 2014-15(Final)'!AL13</f>
        <v>1.2E-2</v>
      </c>
      <c r="G16" s="76">
        <f>'Flowers 2014-15(Final)'!AM13</f>
        <v>3.3000000000000002E-2</v>
      </c>
      <c r="H16" s="76">
        <f>'Flowers 2014-15(Final)'!AN13</f>
        <v>0.11984126984126983</v>
      </c>
      <c r="I16" s="76"/>
      <c r="J16" s="76"/>
      <c r="K16" s="76">
        <f>' Spices 2014-15(Final)'!AJ9</f>
        <v>0.94</v>
      </c>
      <c r="L16" s="76">
        <f>' Spices 2014-15(Final)'!AK9</f>
        <v>0.25</v>
      </c>
      <c r="M16" s="72">
        <f>' Plantations 2014-15(Final)'!J12</f>
        <v>85.706000000000003</v>
      </c>
      <c r="N16" s="72">
        <f>' Plantations 2014-15(Final)'!K12</f>
        <v>122.80000000000001</v>
      </c>
      <c r="O16" s="76"/>
      <c r="P16" s="77">
        <f t="shared" si="0"/>
        <v>105.303</v>
      </c>
      <c r="Q16" s="77">
        <f t="shared" si="1"/>
        <v>288.29984126984129</v>
      </c>
    </row>
    <row r="17" spans="1:17" ht="15.75" customHeight="1" x14ac:dyDescent="0.25">
      <c r="A17" s="65" t="s">
        <v>20</v>
      </c>
      <c r="B17" s="76">
        <f>' Fruits 2014-15(Final)'!BB13</f>
        <v>384.42399999999998</v>
      </c>
      <c r="C17" s="76">
        <f>' Fruits 2014-15(Final)'!BC13</f>
        <v>8300.598</v>
      </c>
      <c r="D17" s="76">
        <f>'Vegetables 2014-15(Final)'!AY13</f>
        <v>603.10799999999995</v>
      </c>
      <c r="E17" s="76">
        <f>'Vegetables 2014-15(Final)'!AZ13</f>
        <v>11861.23</v>
      </c>
      <c r="F17" s="76">
        <f>'Flowers 2014-15(Final)'!AL14</f>
        <v>18.787999999999997</v>
      </c>
      <c r="G17" s="76">
        <f>'Flowers 2014-15(Final)'!AM14</f>
        <v>177.63200000000001</v>
      </c>
      <c r="H17" s="76">
        <f>'Flowers 2014-15(Final)'!AN14</f>
        <v>0</v>
      </c>
      <c r="I17" s="76"/>
      <c r="J17" s="76"/>
      <c r="K17" s="76">
        <f>' Spices 2014-15(Final)'!AJ10</f>
        <v>608.85799999999983</v>
      </c>
      <c r="L17" s="76">
        <f>' Spices 2014-15(Final)'!AK10</f>
        <v>1019.9599999999999</v>
      </c>
      <c r="M17" s="72">
        <f>' Plantations 2014-15(Final)'!J13</f>
        <v>40.052</v>
      </c>
      <c r="N17" s="72">
        <f>' Plantations 2014-15(Final)'!K13</f>
        <v>230.739</v>
      </c>
      <c r="O17" s="76">
        <v>0.18</v>
      </c>
      <c r="P17" s="77">
        <f t="shared" si="0"/>
        <v>1655.2299999999998</v>
      </c>
      <c r="Q17" s="77">
        <f t="shared" si="1"/>
        <v>21590.339000000004</v>
      </c>
    </row>
    <row r="18" spans="1:17" ht="15.75" customHeight="1" x14ac:dyDescent="0.25">
      <c r="A18" s="65" t="s">
        <v>21</v>
      </c>
      <c r="B18" s="76">
        <f>' Fruits 2014-15(Final)'!BB14</f>
        <v>60.45</v>
      </c>
      <c r="C18" s="76">
        <f>' Fruits 2014-15(Final)'!BC14</f>
        <v>703.67500000000007</v>
      </c>
      <c r="D18" s="76">
        <f>'Vegetables 2014-15(Final)'!AY14</f>
        <v>359.39499999999998</v>
      </c>
      <c r="E18" s="76">
        <f>'Vegetables 2014-15(Final)'!AZ14</f>
        <v>5305.59</v>
      </c>
      <c r="F18" s="76">
        <f>'Flowers 2014-15(Final)'!AL15</f>
        <v>6.0699999999999994</v>
      </c>
      <c r="G18" s="76">
        <f>'Flowers 2014-15(Final)'!AM15</f>
        <v>62.85</v>
      </c>
      <c r="H18" s="76">
        <f>'Flowers 2014-15(Final)'!AN15</f>
        <v>4.9196214896214894</v>
      </c>
      <c r="I18" s="76">
        <v>0.152</v>
      </c>
      <c r="J18" s="76">
        <v>0.27100000000000002</v>
      </c>
      <c r="K18" s="76">
        <f>' Spices 2014-15(Final)'!AJ11</f>
        <v>16.125</v>
      </c>
      <c r="L18" s="76">
        <f>' Spices 2014-15(Final)'!AK11</f>
        <v>82.82</v>
      </c>
      <c r="M18" s="72">
        <f>' Plantations 2014-15(Final)'!J14</f>
        <v>0</v>
      </c>
      <c r="N18" s="72">
        <f>' Plantations 2014-15(Final)'!K14</f>
        <v>0</v>
      </c>
      <c r="O18" s="76">
        <v>4.3</v>
      </c>
      <c r="P18" s="77">
        <f t="shared" si="0"/>
        <v>442.19199999999995</v>
      </c>
      <c r="Q18" s="77">
        <f t="shared" si="1"/>
        <v>6164.4256214896222</v>
      </c>
    </row>
    <row r="19" spans="1:17" ht="15.75" customHeight="1" x14ac:dyDescent="0.25">
      <c r="A19" s="65" t="s">
        <v>22</v>
      </c>
      <c r="B19" s="76">
        <f>' Fruits 2014-15(Final)'!BB15</f>
        <v>224.35199999999998</v>
      </c>
      <c r="C19" s="76">
        <f>' Fruits 2014-15(Final)'!BC15</f>
        <v>751.93799999999987</v>
      </c>
      <c r="D19" s="76">
        <f>'Vegetables 2014-15(Final)'!AY15</f>
        <v>83.748999999999995</v>
      </c>
      <c r="E19" s="76">
        <f>'Vegetables 2014-15(Final)'!AZ15</f>
        <v>1585.3679999999999</v>
      </c>
      <c r="F19" s="76">
        <f>'Flowers 2014-15(Final)'!AL16</f>
        <v>0.80200000000000005</v>
      </c>
      <c r="G19" s="76">
        <f>'Flowers 2014-15(Final)'!AM16</f>
        <v>27.204999999999998</v>
      </c>
      <c r="H19" s="76">
        <f>'Flowers 2014-15(Final)'!AN16</f>
        <v>11.553928571428573</v>
      </c>
      <c r="I19" s="76">
        <v>1.073</v>
      </c>
      <c r="J19" s="76">
        <v>0.61799999999999999</v>
      </c>
      <c r="K19" s="76">
        <f>' Spices 2014-15(Final)'!AJ12</f>
        <v>7.391</v>
      </c>
      <c r="L19" s="76">
        <f>' Spices 2014-15(Final)'!AK12</f>
        <v>22.29</v>
      </c>
      <c r="M19" s="72">
        <f>' Plantations 2014-15(Final)'!J15</f>
        <v>0</v>
      </c>
      <c r="N19" s="72">
        <f>' Plantations 2014-15(Final)'!K15</f>
        <v>0</v>
      </c>
      <c r="O19" s="76">
        <v>4.8</v>
      </c>
      <c r="P19" s="77">
        <f t="shared" si="0"/>
        <v>317.36700000000002</v>
      </c>
      <c r="Q19" s="77">
        <f t="shared" si="1"/>
        <v>2403.7729285714281</v>
      </c>
    </row>
    <row r="20" spans="1:17" ht="15.75" customHeight="1" x14ac:dyDescent="0.25">
      <c r="A20" s="65" t="s">
        <v>23</v>
      </c>
      <c r="B20" s="76">
        <f>' Fruits 2014-15(Final)'!BB16</f>
        <v>336.44880000000006</v>
      </c>
      <c r="C20" s="76">
        <f>' Fruits 2014-15(Final)'!BC16</f>
        <v>1779.4380999999998</v>
      </c>
      <c r="D20" s="76">
        <f>'Vegetables 2014-15(Final)'!AY16</f>
        <v>63.056999999999988</v>
      </c>
      <c r="E20" s="76">
        <f>'Vegetables 2014-15(Final)'!AZ16</f>
        <v>1395.4720000000002</v>
      </c>
      <c r="F20" s="76">
        <f>'Flowers 2014-15(Final)'!AL17</f>
        <v>0.45900000000000002</v>
      </c>
      <c r="G20" s="76">
        <f>'Flowers 2014-15(Final)'!AM17</f>
        <v>0.34600000000000003</v>
      </c>
      <c r="H20" s="76">
        <f>'Flowers 2014-15(Final)'!AN17</f>
        <v>0</v>
      </c>
      <c r="I20" s="76"/>
      <c r="J20" s="76"/>
      <c r="K20" s="76">
        <f>' Spices 2014-15(Final)'!AJ13</f>
        <v>4.944</v>
      </c>
      <c r="L20" s="76">
        <f>' Spices 2014-15(Final)'!AK13</f>
        <v>1.07</v>
      </c>
      <c r="M20" s="72">
        <f>' Plantations 2014-15(Final)'!J16</f>
        <v>0</v>
      </c>
      <c r="N20" s="72">
        <f>' Plantations 2014-15(Final)'!K16</f>
        <v>0</v>
      </c>
      <c r="O20" s="76">
        <v>2</v>
      </c>
      <c r="P20" s="77">
        <f t="shared" si="0"/>
        <v>404.90880000000004</v>
      </c>
      <c r="Q20" s="77">
        <f t="shared" si="1"/>
        <v>3178.3261000000002</v>
      </c>
    </row>
    <row r="21" spans="1:17" ht="15.75" customHeight="1" x14ac:dyDescent="0.25">
      <c r="A21" s="65" t="s">
        <v>24</v>
      </c>
      <c r="B21" s="76">
        <f>' Fruits 2014-15(Final)'!BB17</f>
        <v>94.135000000000005</v>
      </c>
      <c r="C21" s="76">
        <f>' Fruits 2014-15(Final)'!BC17</f>
        <v>898.07799999999997</v>
      </c>
      <c r="D21" s="76">
        <f>'Vegetables 2014-15(Final)'!AY17</f>
        <v>316.67100000000005</v>
      </c>
      <c r="E21" s="76">
        <f>'Vegetables 2014-15(Final)'!AZ17</f>
        <v>4279.2749999999996</v>
      </c>
      <c r="F21" s="76">
        <f>'Flowers 2014-15(Final)'!AL18</f>
        <v>1.6</v>
      </c>
      <c r="G21" s="76">
        <f>'Flowers 2014-15(Final)'!AM18</f>
        <v>22.026</v>
      </c>
      <c r="H21" s="76">
        <f>'Flowers 2014-15(Final)'!AN18</f>
        <v>52.81111111111111</v>
      </c>
      <c r="I21" s="76"/>
      <c r="J21" s="76"/>
      <c r="K21" s="76">
        <f>' Spices 2014-15(Final)'!AJ14</f>
        <v>0</v>
      </c>
      <c r="L21" s="76">
        <f>' Spices 2014-15(Final)'!AK14</f>
        <v>0</v>
      </c>
      <c r="M21" s="72">
        <f>' Plantations 2014-15(Final)'!J17</f>
        <v>14.83</v>
      </c>
      <c r="N21" s="72">
        <f>' Plantations 2014-15(Final)'!K17</f>
        <v>4.5</v>
      </c>
      <c r="O21" s="76">
        <v>1.25</v>
      </c>
      <c r="P21" s="77">
        <f t="shared" si="0"/>
        <v>427.23600000000005</v>
      </c>
      <c r="Q21" s="77">
        <f t="shared" si="1"/>
        <v>5257.9401111111101</v>
      </c>
    </row>
    <row r="22" spans="1:17" ht="15.75" customHeight="1" x14ac:dyDescent="0.25">
      <c r="A22" s="65" t="s">
        <v>25</v>
      </c>
      <c r="B22" s="76">
        <f>' Fruits 2014-15(Final)'!BB18</f>
        <v>400.17199999999997</v>
      </c>
      <c r="C22" s="76">
        <f>' Fruits 2014-15(Final)'!BC18</f>
        <v>6799.889000000001</v>
      </c>
      <c r="D22" s="76">
        <f>'Vegetables 2014-15(Final)'!AY18</f>
        <v>485.87899999999991</v>
      </c>
      <c r="E22" s="76">
        <f>'Vegetables 2014-15(Final)'!AZ18</f>
        <v>8828.366</v>
      </c>
      <c r="F22" s="76">
        <f>'Flowers 2014-15(Final)'!AL19</f>
        <v>30.900000000000002</v>
      </c>
      <c r="G22" s="76">
        <f>'Flowers 2014-15(Final)'!AM19</f>
        <v>220</v>
      </c>
      <c r="H22" s="76">
        <f>'Flowers 2014-15(Final)'!AN19</f>
        <v>70.772719780219774</v>
      </c>
      <c r="I22" s="76">
        <f>1.622+2.149</f>
        <v>3.7709999999999999</v>
      </c>
      <c r="J22" s="76">
        <f>15.838+10.538</f>
        <v>26.375999999999998</v>
      </c>
      <c r="K22" s="76">
        <f>' Spices 2014-15(Final)'!AJ15</f>
        <v>206.50700000000001</v>
      </c>
      <c r="L22" s="76">
        <f>' Spices 2014-15(Final)'!AK15</f>
        <v>345.52</v>
      </c>
      <c r="M22" s="72">
        <f>' Plantations 2014-15(Final)'!J18</f>
        <v>870.65300000000002</v>
      </c>
      <c r="N22" s="72">
        <f>' Plantations 2014-15(Final)'!K18</f>
        <v>4078.3630000000003</v>
      </c>
      <c r="O22" s="76">
        <v>1.95</v>
      </c>
      <c r="P22" s="77">
        <f t="shared" si="0"/>
        <v>1997.8819999999998</v>
      </c>
      <c r="Q22" s="77">
        <f t="shared" si="1"/>
        <v>20371.236719780223</v>
      </c>
    </row>
    <row r="23" spans="1:17" ht="15.75" customHeight="1" x14ac:dyDescent="0.25">
      <c r="A23" s="65" t="s">
        <v>26</v>
      </c>
      <c r="B23" s="76">
        <f>' Fruits 2014-15(Final)'!BB19</f>
        <v>194.65780000000001</v>
      </c>
      <c r="C23" s="76">
        <f>' Fruits 2014-15(Final)'!BC19</f>
        <v>2554.1209840000001</v>
      </c>
      <c r="D23" s="76">
        <f>'Vegetables 2014-15(Final)'!AY19</f>
        <v>142.29275999999999</v>
      </c>
      <c r="E23" s="76">
        <f>'Vegetables 2014-15(Final)'!AZ19</f>
        <v>1645.06306</v>
      </c>
      <c r="F23" s="76">
        <f>'Flowers 2014-15(Final)'!AL20</f>
        <v>13.3748</v>
      </c>
      <c r="G23" s="76">
        <f>'Flowers 2014-15(Final)'!AM20</f>
        <v>5.246E-2</v>
      </c>
      <c r="H23" s="76">
        <f>'Flowers 2014-15(Final)'!AN20</f>
        <v>32.863990222222228</v>
      </c>
      <c r="I23" s="76">
        <v>1.2999999999999999E-2</v>
      </c>
      <c r="J23" s="76">
        <v>2.1000000000000001E-4</v>
      </c>
      <c r="K23" s="76">
        <f>' Spices 2014-15(Final)'!AJ16</f>
        <v>167.29000000000002</v>
      </c>
      <c r="L23" s="76">
        <f>' Spices 2014-15(Final)'!AK16</f>
        <v>140.22999999999996</v>
      </c>
      <c r="M23" s="72">
        <f>' Plantations 2014-15(Final)'!J19</f>
        <v>845.71699999999998</v>
      </c>
      <c r="N23" s="72">
        <f>' Plantations 2014-15(Final)'!K19</f>
        <v>3581.93</v>
      </c>
      <c r="O23" s="76">
        <v>2.2000000000000002</v>
      </c>
      <c r="P23" s="77">
        <f t="shared" si="0"/>
        <v>1363.3453599999998</v>
      </c>
      <c r="Q23" s="77">
        <f t="shared" si="1"/>
        <v>7956.4607042222206</v>
      </c>
    </row>
    <row r="24" spans="1:17" ht="15.75" customHeight="1" x14ac:dyDescent="0.25">
      <c r="A24" s="65" t="s">
        <v>55</v>
      </c>
      <c r="B24" s="76">
        <f>' Fruits 2014-15(Final)'!BB20</f>
        <v>0.438</v>
      </c>
      <c r="C24" s="76">
        <f>' Fruits 2014-15(Final)'!BC20</f>
        <v>0.432</v>
      </c>
      <c r="D24" s="76">
        <f>'Vegetables 2014-15(Final)'!AY20</f>
        <v>0.311</v>
      </c>
      <c r="E24" s="76">
        <f>'Vegetables 2014-15(Final)'!AZ20</f>
        <v>0.64900000000000002</v>
      </c>
      <c r="F24" s="76">
        <f>'Flowers 2014-15(Final)'!AL21</f>
        <v>0</v>
      </c>
      <c r="G24" s="76">
        <f>'Flowers 2014-15(Final)'!AM21</f>
        <v>0</v>
      </c>
      <c r="H24" s="76">
        <f>'Flowers 2014-15(Final)'!AN21</f>
        <v>0</v>
      </c>
      <c r="I24" s="76">
        <v>1.2E-2</v>
      </c>
      <c r="J24" s="76">
        <v>1.92E-4</v>
      </c>
      <c r="K24" s="76"/>
      <c r="L24" s="76"/>
      <c r="M24" s="72">
        <f>' Plantations 2014-15(Final)'!J20</f>
        <v>2.57</v>
      </c>
      <c r="N24" s="72">
        <f>' Plantations 2014-15(Final)'!K20</f>
        <v>48.8</v>
      </c>
      <c r="O24" s="76"/>
      <c r="P24" s="77">
        <f t="shared" si="0"/>
        <v>3.331</v>
      </c>
      <c r="Q24" s="77">
        <f t="shared" si="1"/>
        <v>49.881191999999999</v>
      </c>
    </row>
    <row r="25" spans="1:17" ht="15.75" customHeight="1" x14ac:dyDescent="0.25">
      <c r="A25" s="65" t="s">
        <v>27</v>
      </c>
      <c r="B25" s="76">
        <f>' Fruits 2014-15(Final)'!BB21</f>
        <v>219.95599999999999</v>
      </c>
      <c r="C25" s="76">
        <f>' Fruits 2014-15(Final)'!BC21</f>
        <v>6119</v>
      </c>
      <c r="D25" s="76">
        <f>'Vegetables 2014-15(Final)'!AY21</f>
        <v>672.29800000000012</v>
      </c>
      <c r="E25" s="76">
        <f>'Vegetables 2014-15(Final)'!AZ21</f>
        <v>14199</v>
      </c>
      <c r="F25" s="76">
        <f>'Flowers 2014-15(Final)'!AL22</f>
        <v>17.75</v>
      </c>
      <c r="G25" s="76">
        <f>'Flowers 2014-15(Final)'!AM22</f>
        <v>208</v>
      </c>
      <c r="H25" s="76">
        <f>'Flowers 2014-15(Final)'!AN22</f>
        <v>0</v>
      </c>
      <c r="I25" s="76">
        <v>65.617000000000004</v>
      </c>
      <c r="J25" s="76">
        <v>416</v>
      </c>
      <c r="K25" s="76">
        <f>' Spices 2014-15(Final)'!AJ17</f>
        <v>340.20499999999998</v>
      </c>
      <c r="L25" s="76">
        <f>' Spices 2014-15(Final)'!AK17</f>
        <v>699.12</v>
      </c>
      <c r="M25" s="72">
        <f>' Plantations 2014-15(Final)'!J21</f>
        <v>0</v>
      </c>
      <c r="N25" s="72">
        <f>' Plantations 2014-15(Final)'!K21</f>
        <v>0</v>
      </c>
      <c r="O25" s="76">
        <v>1.75</v>
      </c>
      <c r="P25" s="77">
        <f t="shared" si="0"/>
        <v>1315.826</v>
      </c>
      <c r="Q25" s="77">
        <f t="shared" si="1"/>
        <v>21642.87</v>
      </c>
    </row>
    <row r="26" spans="1:17" ht="15.75" customHeight="1" x14ac:dyDescent="0.25">
      <c r="A26" s="65" t="s">
        <v>28</v>
      </c>
      <c r="B26" s="76">
        <f>' Fruits 2014-15(Final)'!BB22</f>
        <v>742.28200000000004</v>
      </c>
      <c r="C26" s="76">
        <f>' Fruits 2014-15(Final)'!BC22</f>
        <v>11089.525</v>
      </c>
      <c r="D26" s="76">
        <f>'Vegetables 2014-15(Final)'!AY22</f>
        <v>595.21400000000006</v>
      </c>
      <c r="E26" s="76">
        <f>'Vegetables 2014-15(Final)'!AZ22</f>
        <v>8783.0059999999994</v>
      </c>
      <c r="F26" s="76">
        <f>'Flowers 2014-15(Final)'!AL23</f>
        <v>7.2499999999999991</v>
      </c>
      <c r="G26" s="76">
        <f>'Flowers 2014-15(Final)'!AM23</f>
        <v>38.53</v>
      </c>
      <c r="H26" s="76">
        <f>'Flowers 2014-15(Final)'!AN23</f>
        <v>0</v>
      </c>
      <c r="I26" s="76">
        <v>0.315</v>
      </c>
      <c r="J26" s="76">
        <v>0.255</v>
      </c>
      <c r="K26" s="76">
        <f>' Spices 2014-15(Final)'!AJ18</f>
        <v>123.24000000000001</v>
      </c>
      <c r="L26" s="76">
        <f>' Spices 2014-15(Final)'!AK18</f>
        <v>130.09</v>
      </c>
      <c r="M26" s="72">
        <f>' Plantations 2014-15(Final)'!J22</f>
        <v>216.49999999999997</v>
      </c>
      <c r="N26" s="72">
        <f>' Plantations 2014-15(Final)'!K22</f>
        <v>367.58000000000004</v>
      </c>
      <c r="O26" s="76">
        <v>1.25</v>
      </c>
      <c r="P26" s="77">
        <f t="shared" si="0"/>
        <v>1684.8010000000002</v>
      </c>
      <c r="Q26" s="77">
        <f t="shared" si="1"/>
        <v>20410.236000000001</v>
      </c>
    </row>
    <row r="27" spans="1:17" ht="15.75" customHeight="1" x14ac:dyDescent="0.25">
      <c r="A27" s="65" t="s">
        <v>29</v>
      </c>
      <c r="B27" s="76">
        <f>' Fruits 2014-15(Final)'!BB23</f>
        <v>55.622</v>
      </c>
      <c r="C27" s="76">
        <f>' Fruits 2014-15(Final)'!BC23</f>
        <v>521.57299999999998</v>
      </c>
      <c r="D27" s="76">
        <f>'Vegetables 2014-15(Final)'!AY23</f>
        <v>29.33</v>
      </c>
      <c r="E27" s="76">
        <f>'Vegetables 2014-15(Final)'!AZ23</f>
        <v>268.00900000000001</v>
      </c>
      <c r="F27" s="76">
        <f>'Flowers 2014-15(Final)'!AL24</f>
        <v>0.81</v>
      </c>
      <c r="G27" s="76">
        <f>'Flowers 2014-15(Final)'!AM24</f>
        <v>0.30100000000000005</v>
      </c>
      <c r="H27" s="76">
        <f>'Flowers 2014-15(Final)'!AN24</f>
        <v>0</v>
      </c>
      <c r="I27" s="76"/>
      <c r="J27" s="76"/>
      <c r="K27" s="76">
        <f>' Spices 2014-15(Final)'!AJ19</f>
        <v>10.47</v>
      </c>
      <c r="L27" s="76">
        <f>' Spices 2014-15(Final)'!AK19</f>
        <v>24.14</v>
      </c>
      <c r="M27" s="72">
        <f>' Plantations 2014-15(Final)'!J23</f>
        <v>0.9</v>
      </c>
      <c r="N27" s="72">
        <f>' Plantations 2014-15(Final)'!K23</f>
        <v>0.15</v>
      </c>
      <c r="O27" s="76"/>
      <c r="P27" s="77">
        <f t="shared" si="0"/>
        <v>97.132000000000005</v>
      </c>
      <c r="Q27" s="77">
        <f t="shared" si="1"/>
        <v>814.173</v>
      </c>
    </row>
    <row r="28" spans="1:17" ht="15.75" customHeight="1" x14ac:dyDescent="0.25">
      <c r="A28" s="65" t="s">
        <v>30</v>
      </c>
      <c r="B28" s="76">
        <f>' Fruits 2014-15(Final)'!BB24</f>
        <v>36.332000000000001</v>
      </c>
      <c r="C28" s="76">
        <f>' Fruits 2014-15(Final)'!BC24</f>
        <v>377.24599999999998</v>
      </c>
      <c r="D28" s="76">
        <f>'Vegetables 2014-15(Final)'!AY24</f>
        <v>44.6</v>
      </c>
      <c r="E28" s="76">
        <f>'Vegetables 2014-15(Final)'!AZ24</f>
        <v>534</v>
      </c>
      <c r="F28" s="76">
        <f>'Flowers 2014-15(Final)'!AL25</f>
        <v>5.6999999999999995E-2</v>
      </c>
      <c r="G28" s="76">
        <f>'Flowers 2014-15(Final)'!AM25</f>
        <v>0</v>
      </c>
      <c r="H28" s="76">
        <f>'Flowers 2014-15(Final)'!AN25</f>
        <v>2.6063492063492064</v>
      </c>
      <c r="I28" s="76"/>
      <c r="J28" s="76"/>
      <c r="K28" s="76">
        <f>' Spices 2014-15(Final)'!AJ20</f>
        <v>17.501999999999999</v>
      </c>
      <c r="L28" s="76">
        <f>' Spices 2014-15(Final)'!AK20</f>
        <v>83.88</v>
      </c>
      <c r="M28" s="72">
        <f>' Plantations 2014-15(Final)'!J24</f>
        <v>25.61</v>
      </c>
      <c r="N28" s="72">
        <f>' Plantations 2014-15(Final)'!K24</f>
        <v>29.18</v>
      </c>
      <c r="O28" s="76">
        <v>0.15</v>
      </c>
      <c r="P28" s="77">
        <f t="shared" si="0"/>
        <v>124.101</v>
      </c>
      <c r="Q28" s="77">
        <f t="shared" si="1"/>
        <v>1027.0623492063494</v>
      </c>
    </row>
    <row r="29" spans="1:17" ht="15.75" customHeight="1" x14ac:dyDescent="0.25">
      <c r="A29" s="65" t="s">
        <v>31</v>
      </c>
      <c r="B29" s="76">
        <f>' Fruits 2014-15(Final)'!BB25</f>
        <v>60.268000000000001</v>
      </c>
      <c r="C29" s="76">
        <f>' Fruits 2014-15(Final)'!BC25</f>
        <v>350.91199999999992</v>
      </c>
      <c r="D29" s="76">
        <f>'Vegetables 2014-15(Final)'!AY25</f>
        <v>44.030999999999999</v>
      </c>
      <c r="E29" s="76">
        <f>'Vegetables 2014-15(Final)'!AZ25</f>
        <v>273.76300000000003</v>
      </c>
      <c r="F29" s="76">
        <f>'Flowers 2014-15(Final)'!AL26</f>
        <v>0.19800000000000001</v>
      </c>
      <c r="G29" s="76">
        <f>'Flowers 2014-15(Final)'!AM26</f>
        <v>181.54312072649572</v>
      </c>
      <c r="H29" s="76">
        <f>'Flowers 2014-15(Final)'!AN26</f>
        <v>1.8256921550671552</v>
      </c>
      <c r="I29" s="76">
        <v>1.1000000000000001</v>
      </c>
      <c r="J29" s="76">
        <v>0.95</v>
      </c>
      <c r="K29" s="76">
        <f>' Spices 2014-15(Final)'!AJ21</f>
        <v>23.3</v>
      </c>
      <c r="L29" s="76">
        <f>' Spices 2014-15(Final)'!AK21</f>
        <v>65.72</v>
      </c>
      <c r="M29" s="72">
        <f>' Plantations 2014-15(Final)'!J25</f>
        <v>10.782</v>
      </c>
      <c r="N29" s="72">
        <f>' Plantations 2014-15(Final)'!K25</f>
        <v>7.3819999999999997</v>
      </c>
      <c r="O29" s="76">
        <v>0.1</v>
      </c>
      <c r="P29" s="77">
        <f t="shared" si="0"/>
        <v>139.679</v>
      </c>
      <c r="Q29" s="77">
        <f t="shared" si="1"/>
        <v>882.19581288156292</v>
      </c>
    </row>
    <row r="30" spans="1:17" ht="15.75" customHeight="1" x14ac:dyDescent="0.25">
      <c r="A30" s="65" t="s">
        <v>32</v>
      </c>
      <c r="B30" s="76">
        <f>' Fruits 2014-15(Final)'!BB26</f>
        <v>40.556999999999988</v>
      </c>
      <c r="C30" s="76">
        <f>' Fruits 2014-15(Final)'!BC26</f>
        <v>410.995</v>
      </c>
      <c r="D30" s="76">
        <f>'Vegetables 2014-15(Final)'!AY26</f>
        <v>38.549999999999997</v>
      </c>
      <c r="E30" s="76">
        <f>'Vegetables 2014-15(Final)'!AZ26</f>
        <v>492.37400000000002</v>
      </c>
      <c r="F30" s="76">
        <f>'Flowers 2014-15(Final)'!AL27</f>
        <v>1.0999999999999999E-2</v>
      </c>
      <c r="G30" s="76">
        <f>'Flowers 2014-15(Final)'!AM27</f>
        <v>0</v>
      </c>
      <c r="H30" s="76">
        <f>'Flowers 2014-15(Final)'!AN27</f>
        <v>0</v>
      </c>
      <c r="I30" s="76"/>
      <c r="J30" s="76"/>
      <c r="K30" s="76">
        <f>' Spices 2014-15(Final)'!AJ22</f>
        <v>9.77</v>
      </c>
      <c r="L30" s="76">
        <f>' Spices 2014-15(Final)'!AK22</f>
        <v>39.159999999999997</v>
      </c>
      <c r="M30" s="72">
        <f>' Plantations 2014-15(Final)'!J26</f>
        <v>2.17</v>
      </c>
      <c r="N30" s="72">
        <f>' Plantations 2014-15(Final)'!K26</f>
        <v>11.55</v>
      </c>
      <c r="O30" s="76">
        <v>0.25</v>
      </c>
      <c r="P30" s="77">
        <f t="shared" si="0"/>
        <v>91.057999999999979</v>
      </c>
      <c r="Q30" s="77">
        <f t="shared" si="1"/>
        <v>954.32899999999995</v>
      </c>
    </row>
    <row r="31" spans="1:17" ht="15.75" customHeight="1" x14ac:dyDescent="0.25">
      <c r="A31" s="65" t="s">
        <v>175</v>
      </c>
      <c r="B31" s="76">
        <f>' Fruits 2014-15(Final)'!BB27</f>
        <v>327.28699999999998</v>
      </c>
      <c r="C31" s="76">
        <f>' Fruits 2014-15(Final)'!BC27</f>
        <v>2156.4900000000002</v>
      </c>
      <c r="D31" s="76">
        <f>'Vegetables 2014-15(Final)'!AY27</f>
        <v>668.5300000000002</v>
      </c>
      <c r="E31" s="76">
        <f>'Vegetables 2014-15(Final)'!AZ27</f>
        <v>9413.5400000000009</v>
      </c>
      <c r="F31" s="76">
        <f>'Flowers 2014-15(Final)'!AL28</f>
        <v>7.4980000000000002</v>
      </c>
      <c r="G31" s="76">
        <f>'Flowers 2014-15(Final)'!AM28</f>
        <v>25.86</v>
      </c>
      <c r="H31" s="76">
        <f>'Flowers 2014-15(Final)'!AN28</f>
        <v>57.159903846153853</v>
      </c>
      <c r="I31" s="76">
        <v>1.9</v>
      </c>
      <c r="J31" s="76">
        <v>0.6</v>
      </c>
      <c r="K31" s="76">
        <f>' Spices 2014-15(Final)'!AJ23</f>
        <v>123.32400000000001</v>
      </c>
      <c r="L31" s="76">
        <f>' Spices 2014-15(Final)'!AK23</f>
        <v>181.5</v>
      </c>
      <c r="M31" s="72">
        <f>' Plantations 2014-15(Final)'!J27</f>
        <v>231.09</v>
      </c>
      <c r="N31" s="72">
        <f>' Plantations 2014-15(Final)'!K27</f>
        <v>309.10000000000002</v>
      </c>
      <c r="O31" s="76">
        <v>0.9</v>
      </c>
      <c r="P31" s="77">
        <f t="shared" si="0"/>
        <v>1359.6290000000001</v>
      </c>
      <c r="Q31" s="77">
        <f t="shared" si="1"/>
        <v>12145.149903846155</v>
      </c>
    </row>
    <row r="32" spans="1:17" ht="15.75" customHeight="1" x14ac:dyDescent="0.25">
      <c r="A32" s="65" t="s">
        <v>165</v>
      </c>
      <c r="B32" s="76">
        <f>' Fruits 2014-15(Final)'!BB28</f>
        <v>0.67900000000000005</v>
      </c>
      <c r="C32" s="76">
        <f>' Fruits 2014-15(Final)'!BC28</f>
        <v>15.905999999999999</v>
      </c>
      <c r="D32" s="76">
        <f>'Vegetables 2014-15(Final)'!AY28</f>
        <v>1.464</v>
      </c>
      <c r="E32" s="76">
        <f>'Vegetables 2014-15(Final)'!AZ28</f>
        <v>43.734999999999999</v>
      </c>
      <c r="F32" s="76">
        <f>'Flowers 2014-15(Final)'!AL29</f>
        <v>0.17499999999999999</v>
      </c>
      <c r="G32" s="76">
        <f>'Flowers 2014-15(Final)'!AM29</f>
        <v>1.488</v>
      </c>
      <c r="H32" s="76">
        <f>'Flowers 2014-15(Final)'!AN29</f>
        <v>0</v>
      </c>
      <c r="I32" s="76"/>
      <c r="J32" s="76"/>
      <c r="K32" s="76">
        <f>' Spices 2014-15(Final)'!AJ24</f>
        <v>0.09</v>
      </c>
      <c r="L32" s="76">
        <f>' Spices 2014-15(Final)'!AK24</f>
        <v>0.38</v>
      </c>
      <c r="M32" s="72">
        <f>' Plantations 2014-15(Final)'!J28</f>
        <v>6.9390000000000001</v>
      </c>
      <c r="N32" s="72">
        <f>' Plantations 2014-15(Final)'!K28</f>
        <v>18.149000000000001</v>
      </c>
      <c r="O32" s="76"/>
      <c r="P32" s="77">
        <f t="shared" si="0"/>
        <v>9.3469999999999995</v>
      </c>
      <c r="Q32" s="77">
        <f t="shared" si="1"/>
        <v>79.658000000000001</v>
      </c>
    </row>
    <row r="33" spans="1:17" ht="15.75" customHeight="1" x14ac:dyDescent="0.25">
      <c r="A33" s="65" t="s">
        <v>33</v>
      </c>
      <c r="B33" s="76">
        <f>' Fruits 2014-15(Final)'!BB29</f>
        <v>77.750999999999991</v>
      </c>
      <c r="C33" s="76">
        <f>' Fruits 2014-15(Final)'!BC29</f>
        <v>1644.6410000000001</v>
      </c>
      <c r="D33" s="76">
        <f>'Vegetables 2014-15(Final)'!AY29</f>
        <v>208.03400000000002</v>
      </c>
      <c r="E33" s="76">
        <f>'Vegetables 2014-15(Final)'!AZ29</f>
        <v>4167.6480000000001</v>
      </c>
      <c r="F33" s="76">
        <f>'Flowers 2014-15(Final)'!AL30</f>
        <v>1.3740000000000001</v>
      </c>
      <c r="G33" s="76">
        <f>'Flowers 2014-15(Final)'!AM30</f>
        <v>10.654</v>
      </c>
      <c r="H33" s="76">
        <f>'Flowers 2014-15(Final)'!AN30</f>
        <v>0</v>
      </c>
      <c r="I33" s="76">
        <v>15.1</v>
      </c>
      <c r="J33" s="76">
        <v>2.9009999999999998</v>
      </c>
      <c r="K33" s="76">
        <f>' Spices 2014-15(Final)'!AJ25</f>
        <v>21.34</v>
      </c>
      <c r="L33" s="76">
        <f>' Spices 2014-15(Final)'!AK25</f>
        <v>91.52</v>
      </c>
      <c r="M33" s="72">
        <f>' Plantations 2014-15(Final)'!J29</f>
        <v>0</v>
      </c>
      <c r="N33" s="72">
        <f>' Plantations 2014-15(Final)'!K29</f>
        <v>0</v>
      </c>
      <c r="O33" s="76">
        <v>13.8</v>
      </c>
      <c r="P33" s="77">
        <f t="shared" si="0"/>
        <v>323.59900000000005</v>
      </c>
      <c r="Q33" s="77">
        <f t="shared" si="1"/>
        <v>5931.1640000000016</v>
      </c>
    </row>
    <row r="34" spans="1:17" ht="15.75" customHeight="1" x14ac:dyDescent="0.25">
      <c r="A34" s="65" t="s">
        <v>34</v>
      </c>
      <c r="B34" s="76">
        <f>' Fruits 2014-15(Final)'!BB30</f>
        <v>39.438000000000002</v>
      </c>
      <c r="C34" s="76">
        <f>' Fruits 2014-15(Final)'!BC30</f>
        <v>735.601</v>
      </c>
      <c r="D34" s="76">
        <f>'Vegetables 2014-15(Final)'!AY30</f>
        <v>153.91599999999997</v>
      </c>
      <c r="E34" s="76">
        <f>'Vegetables 2014-15(Final)'!AZ30</f>
        <v>1433.2280000000001</v>
      </c>
      <c r="F34" s="76">
        <f>'Flowers 2014-15(Final)'!AL31</f>
        <v>2.71</v>
      </c>
      <c r="G34" s="76">
        <f>'Flowers 2014-15(Final)'!AM31</f>
        <v>2.91</v>
      </c>
      <c r="H34" s="76">
        <f>'Flowers 2014-15(Final)'!AN31</f>
        <v>0</v>
      </c>
      <c r="I34" s="8">
        <v>400.096</v>
      </c>
      <c r="J34" s="8">
        <f>0.05+151.771</f>
        <v>151.821</v>
      </c>
      <c r="K34" s="76">
        <f>' Spices 2014-15(Final)'!AJ26</f>
        <v>866.8599999999999</v>
      </c>
      <c r="L34" s="76">
        <f>' Spices 2014-15(Final)'!AK26</f>
        <v>618.31999999999994</v>
      </c>
      <c r="M34" s="72">
        <f>' Plantations 2014-15(Final)'!J30</f>
        <v>0</v>
      </c>
      <c r="N34" s="72">
        <f>' Plantations 2014-15(Final)'!K30</f>
        <v>0</v>
      </c>
      <c r="O34" s="76">
        <v>2.2000000000000002</v>
      </c>
      <c r="P34" s="77">
        <f t="shared" si="0"/>
        <v>1463.02</v>
      </c>
      <c r="Q34" s="77">
        <f t="shared" si="1"/>
        <v>2944.08</v>
      </c>
    </row>
    <row r="35" spans="1:17" ht="15.75" customHeight="1" x14ac:dyDescent="0.25">
      <c r="A35" s="65" t="s">
        <v>35</v>
      </c>
      <c r="B35" s="76">
        <f>' Fruits 2014-15(Final)'!BB31</f>
        <v>2.3599999999999999E-2</v>
      </c>
      <c r="C35" s="76">
        <f>' Fruits 2014-15(Final)'!BC31</f>
        <v>3.3399999999999999E-2</v>
      </c>
      <c r="D35" s="76">
        <f>'Vegetables 2014-15(Final)'!AY31</f>
        <v>29.148000000000003</v>
      </c>
      <c r="E35" s="76">
        <f>'Vegetables 2014-15(Final)'!AZ31</f>
        <v>130.06</v>
      </c>
      <c r="F35" s="76">
        <f>'Flowers 2014-15(Final)'!AL32</f>
        <v>0.24199999999999999</v>
      </c>
      <c r="G35" s="76">
        <f>'Flowers 2014-15(Final)'!AM32</f>
        <v>16.5</v>
      </c>
      <c r="H35" s="76">
        <f>'Flowers 2014-15(Final)'!AN32</f>
        <v>1.9238644688644688</v>
      </c>
      <c r="I35" s="76"/>
      <c r="J35" s="76"/>
      <c r="K35" s="76">
        <f>' Spices 2014-15(Final)'!AJ27</f>
        <v>34.08</v>
      </c>
      <c r="L35" s="76">
        <f>' Spices 2014-15(Final)'!AK27</f>
        <v>61.14</v>
      </c>
      <c r="M35" s="72">
        <f>' Plantations 2014-15(Final)'!J31</f>
        <v>0</v>
      </c>
      <c r="N35" s="72">
        <f>' Plantations 2014-15(Final)'!K31</f>
        <v>0</v>
      </c>
      <c r="O35" s="76">
        <v>0.2</v>
      </c>
      <c r="P35" s="77">
        <f t="shared" si="0"/>
        <v>63.493600000000001</v>
      </c>
      <c r="Q35" s="77">
        <f t="shared" si="1"/>
        <v>209.85726446886446</v>
      </c>
    </row>
    <row r="36" spans="1:17" ht="15.75" customHeight="1" x14ac:dyDescent="0.25">
      <c r="A36" s="65" t="s">
        <v>56</v>
      </c>
      <c r="B36" s="76">
        <f>' Fruits 2014-15(Final)'!BB32</f>
        <v>285.69300000000004</v>
      </c>
      <c r="C36" s="76">
        <f>' Fruits 2014-15(Final)'!BC32</f>
        <v>5963.9332000000004</v>
      </c>
      <c r="D36" s="76">
        <f>'Vegetables 2014-15(Final)'!AY32</f>
        <v>284.80610000000001</v>
      </c>
      <c r="E36" s="76">
        <f>'Vegetables 2014-15(Final)'!AZ32</f>
        <v>7521.0221000000001</v>
      </c>
      <c r="F36" s="76">
        <f>'Flowers 2014-15(Final)'!AL33</f>
        <v>55.03</v>
      </c>
      <c r="G36" s="76">
        <f>'Flowers 2014-15(Final)'!AM33</f>
        <v>343.65</v>
      </c>
      <c r="H36" s="76">
        <f>'Flowers 2014-15(Final)'!AN33</f>
        <v>12.873911111111111</v>
      </c>
      <c r="I36" s="76">
        <f>0.311+13.669</f>
        <v>13.98</v>
      </c>
      <c r="J36" s="76">
        <f>4.822+214.936</f>
        <v>219.75800000000001</v>
      </c>
      <c r="K36" s="76">
        <f>' Spices 2014-15(Final)'!AJ28</f>
        <v>107.504</v>
      </c>
      <c r="L36" s="76">
        <f>' Spices 2014-15(Final)'!AK28</f>
        <v>187.91</v>
      </c>
      <c r="M36" s="72">
        <f>' Plantations 2014-15(Final)'!J32</f>
        <v>638.54700000000003</v>
      </c>
      <c r="N36" s="72">
        <f>' Plantations 2014-15(Final)'!K32</f>
        <v>4842.76</v>
      </c>
      <c r="O36" s="76">
        <v>1.45</v>
      </c>
      <c r="P36" s="77">
        <f t="shared" si="0"/>
        <v>1385.5601000000001</v>
      </c>
      <c r="Q36" s="77">
        <f t="shared" si="1"/>
        <v>19093.357211111113</v>
      </c>
    </row>
    <row r="37" spans="1:17" ht="15.75" customHeight="1" x14ac:dyDescent="0.25">
      <c r="A37" s="65" t="s">
        <v>218</v>
      </c>
      <c r="B37" s="76">
        <f>' Fruits 2014-15(Final)'!BB33</f>
        <v>361.77599999999995</v>
      </c>
      <c r="C37" s="76">
        <f>' Fruits 2014-15(Final)'!BC33</f>
        <v>5287.6959999999999</v>
      </c>
      <c r="D37" s="76">
        <f>'Vegetables 2014-15(Final)'!AY33</f>
        <v>179.65899999999996</v>
      </c>
      <c r="E37" s="76">
        <f>'Vegetables 2014-15(Final)'!AZ33</f>
        <v>3005.3289999999997</v>
      </c>
      <c r="F37" s="76">
        <f>'Flowers 2014-15(Final)'!AL34</f>
        <v>7.4350000000000005</v>
      </c>
      <c r="G37" s="76">
        <f>'Flowers 2014-15(Final)'!AM34</f>
        <v>21.713999999999999</v>
      </c>
      <c r="H37" s="76">
        <f>'Flowers 2014-15(Final)'!AN34</f>
        <v>6.0057142857142853</v>
      </c>
      <c r="I37" s="76"/>
      <c r="J37" s="76"/>
      <c r="K37" s="76">
        <f>' Spices 2014-15(Final)'!AJ29</f>
        <v>122.35599999999997</v>
      </c>
      <c r="L37" s="76">
        <f>' Spices 2014-15(Final)'!AK29</f>
        <v>493.93000000000006</v>
      </c>
      <c r="M37" s="72">
        <f>' Plantations 2014-15(Final)'!J33</f>
        <v>1.6859999999999999</v>
      </c>
      <c r="N37" s="72">
        <f>' Plantations 2014-15(Final)'!K33</f>
        <v>17.440000000000001</v>
      </c>
      <c r="O37" s="76"/>
      <c r="P37" s="77">
        <f t="shared" si="0"/>
        <v>672.91199999999992</v>
      </c>
      <c r="Q37" s="77">
        <f t="shared" si="1"/>
        <v>8832.1147142857153</v>
      </c>
    </row>
    <row r="38" spans="1:17" ht="15.75" customHeight="1" x14ac:dyDescent="0.25">
      <c r="A38" s="65" t="s">
        <v>37</v>
      </c>
      <c r="B38" s="76">
        <f>' Fruits 2014-15(Final)'!BB34</f>
        <v>71.767999999999986</v>
      </c>
      <c r="C38" s="76">
        <f>' Fruits 2014-15(Final)'!BC34</f>
        <v>819.11999999999989</v>
      </c>
      <c r="D38" s="76">
        <f>'Vegetables 2014-15(Final)'!AY34</f>
        <v>48.610999999999997</v>
      </c>
      <c r="E38" s="76">
        <f>'Vegetables 2014-15(Final)'!AZ34</f>
        <v>811.09100000000001</v>
      </c>
      <c r="F38" s="76">
        <f>'Flowers 2014-15(Final)'!AL35</f>
        <v>0</v>
      </c>
      <c r="G38" s="76">
        <f>'Flowers 2014-15(Final)'!AM35</f>
        <v>0</v>
      </c>
      <c r="H38" s="76">
        <f>'Flowers 2014-15(Final)'!AN35</f>
        <v>0</v>
      </c>
      <c r="I38" s="76"/>
      <c r="J38" s="76"/>
      <c r="K38" s="76">
        <f>' Spices 2014-15(Final)'!AJ30</f>
        <v>5.69</v>
      </c>
      <c r="L38" s="76">
        <f>' Spices 2014-15(Final)'!AK30</f>
        <v>18.04</v>
      </c>
      <c r="M38" s="72">
        <f>' Plantations 2014-15(Final)'!J34</f>
        <v>15.882</v>
      </c>
      <c r="N38" s="72">
        <f>' Plantations 2014-15(Final)'!K34</f>
        <v>31.967999999999996</v>
      </c>
      <c r="O38" s="76"/>
      <c r="P38" s="77">
        <f t="shared" si="0"/>
        <v>141.95099999999999</v>
      </c>
      <c r="Q38" s="77">
        <f t="shared" si="1"/>
        <v>1680.2189999999998</v>
      </c>
    </row>
    <row r="39" spans="1:17" ht="15.75" customHeight="1" x14ac:dyDescent="0.25">
      <c r="A39" s="65" t="s">
        <v>38</v>
      </c>
      <c r="B39" s="76">
        <f>' Fruits 2014-15(Final)'!BB35</f>
        <v>372.33799999999997</v>
      </c>
      <c r="C39" s="76">
        <f>' Fruits 2014-15(Final)'!BC35</f>
        <v>7558.9859999999999</v>
      </c>
      <c r="D39" s="76">
        <f>'Vegetables 2014-15(Final)'!AY35</f>
        <v>1163.55</v>
      </c>
      <c r="E39" s="76">
        <f>'Vegetables 2014-15(Final)'!AZ35</f>
        <v>26120.184000000005</v>
      </c>
      <c r="F39" s="76">
        <f>'Flowers 2014-15(Final)'!AL36</f>
        <v>17.204999999999998</v>
      </c>
      <c r="G39" s="76">
        <f>'Flowers 2014-15(Final)'!AM36</f>
        <v>34.315999999999995</v>
      </c>
      <c r="H39" s="76">
        <f>'Flowers 2014-15(Final)'!AN36</f>
        <v>5.2884615384615384E-2</v>
      </c>
      <c r="I39" s="76">
        <v>133.69999999999999</v>
      </c>
      <c r="J39" s="76">
        <v>13.4</v>
      </c>
      <c r="K39" s="76">
        <f>' Spices 2014-15(Final)'!AJ31</f>
        <v>58.043999999999997</v>
      </c>
      <c r="L39" s="76">
        <f>' Spices 2014-15(Final)'!AK31</f>
        <v>221.71</v>
      </c>
      <c r="M39" s="72">
        <f>' Plantations 2014-15(Final)'!J35</f>
        <v>0</v>
      </c>
      <c r="N39" s="72">
        <f>' Plantations 2014-15(Final)'!K35</f>
        <v>0</v>
      </c>
      <c r="O39" s="76">
        <v>13.5</v>
      </c>
      <c r="P39" s="77">
        <f t="shared" si="0"/>
        <v>1744.837</v>
      </c>
      <c r="Q39" s="77">
        <f t="shared" si="1"/>
        <v>33962.148884615388</v>
      </c>
    </row>
    <row r="40" spans="1:17" ht="15.75" customHeight="1" x14ac:dyDescent="0.25">
      <c r="A40" s="65" t="s">
        <v>88</v>
      </c>
      <c r="B40" s="76">
        <f>' Fruits 2014-15(Final)'!BB36</f>
        <v>204.95799999999997</v>
      </c>
      <c r="C40" s="76">
        <f>' Fruits 2014-15(Final)'!BC36</f>
        <v>785.96800000000007</v>
      </c>
      <c r="D40" s="76">
        <f>'Vegetables 2014-15(Final)'!AY36</f>
        <v>100.69900000000001</v>
      </c>
      <c r="E40" s="76">
        <f>'Vegetables 2014-15(Final)'!AZ36</f>
        <v>1109.653</v>
      </c>
      <c r="F40" s="76">
        <f>'Flowers 2014-15(Final)'!AL37</f>
        <v>1.625</v>
      </c>
      <c r="G40" s="76">
        <f>'Flowers 2014-15(Final)'!AM37</f>
        <v>2.0869999999999997</v>
      </c>
      <c r="H40" s="76">
        <f>'Flowers 2014-15(Final)'!AN37</f>
        <v>14.68531746031746</v>
      </c>
      <c r="I40" s="76"/>
      <c r="J40" s="76"/>
      <c r="K40" s="76">
        <f>' Spices 2014-15(Final)'!AJ32</f>
        <v>8.0850000000000009</v>
      </c>
      <c r="L40" s="76">
        <f>' Spices 2014-15(Final)'!AK32</f>
        <v>41.08</v>
      </c>
      <c r="M40" s="72">
        <f>' Plantations 2014-15(Final)'!J36</f>
        <v>0</v>
      </c>
      <c r="N40" s="72">
        <f>' Plantations 2014-15(Final)'!K36</f>
        <v>0</v>
      </c>
      <c r="O40" s="76">
        <v>1.9</v>
      </c>
      <c r="P40" s="77">
        <f t="shared" si="0"/>
        <v>315.36699999999996</v>
      </c>
      <c r="Q40" s="77">
        <f t="shared" si="1"/>
        <v>1955.3733174603176</v>
      </c>
    </row>
    <row r="41" spans="1:17" ht="15.75" customHeight="1" x14ac:dyDescent="0.25">
      <c r="A41" s="65" t="s">
        <v>39</v>
      </c>
      <c r="B41" s="76">
        <f>' Fruits 2014-15(Final)'!BB37</f>
        <v>228.25</v>
      </c>
      <c r="C41" s="76">
        <f>' Fruits 2014-15(Final)'!BC37</f>
        <v>3313.6949999999997</v>
      </c>
      <c r="D41" s="76">
        <f>'Vegetables 2014-15(Final)'!AY37</f>
        <v>1387.1960000000001</v>
      </c>
      <c r="E41" s="76">
        <f>'Vegetables 2014-15(Final)'!AZ37</f>
        <v>26354.605</v>
      </c>
      <c r="F41" s="76">
        <f>'Flowers 2014-15(Final)'!AL38</f>
        <v>25.32</v>
      </c>
      <c r="G41" s="76">
        <f>'Flowers 2014-15(Final)'!AM38</f>
        <v>68.150000000000006</v>
      </c>
      <c r="H41" s="76">
        <f>'Flowers 2014-15(Final)'!AN38</f>
        <v>148.02777777777777</v>
      </c>
      <c r="I41" s="76"/>
      <c r="J41" s="76"/>
      <c r="K41" s="76">
        <f>' Spices 2014-15(Final)'!AJ33</f>
        <v>97.559999999999988</v>
      </c>
      <c r="L41" s="76">
        <f>' Spices 2014-15(Final)'!AK33</f>
        <v>207.78</v>
      </c>
      <c r="M41" s="72">
        <f>' Plantations 2014-15(Final)'!J37</f>
        <v>52.16</v>
      </c>
      <c r="N41" s="72">
        <f>' Plantations 2014-15(Final)'!K37</f>
        <v>290.34000000000003</v>
      </c>
      <c r="O41" s="76">
        <v>15.5</v>
      </c>
      <c r="P41" s="77">
        <f t="shared" si="0"/>
        <v>1790.4860000000001</v>
      </c>
      <c r="Q41" s="77">
        <f t="shared" si="1"/>
        <v>30398.097777777777</v>
      </c>
    </row>
    <row r="42" spans="1:17" ht="15.75" customHeight="1" x14ac:dyDescent="0.25">
      <c r="A42" s="6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2"/>
      <c r="N42" s="72"/>
      <c r="O42" s="76">
        <v>0.7</v>
      </c>
      <c r="P42" s="77"/>
      <c r="Q42" s="77">
        <f>C42+E42+G42+H42+J42+L42+N42+O42</f>
        <v>0.7</v>
      </c>
    </row>
    <row r="43" spans="1:17" ht="15.75" customHeight="1" x14ac:dyDescent="0.25">
      <c r="A43" s="65" t="s">
        <v>9</v>
      </c>
      <c r="B43" s="77">
        <f>SUM(B7:B42)</f>
        <v>6109.6714000000011</v>
      </c>
      <c r="C43" s="77">
        <f t="shared" ref="C43:Q43" si="2">SUM(C7:C42)</f>
        <v>86601.684684000007</v>
      </c>
      <c r="D43" s="77">
        <f t="shared" si="2"/>
        <v>9542.2328600000001</v>
      </c>
      <c r="E43" s="77">
        <f t="shared" si="2"/>
        <v>169478.22816</v>
      </c>
      <c r="F43" s="77">
        <f t="shared" si="2"/>
        <v>248.5059</v>
      </c>
      <c r="G43" s="77">
        <f t="shared" si="2"/>
        <v>1658.7153807264956</v>
      </c>
      <c r="H43" s="77">
        <f t="shared" si="2"/>
        <v>484.17296204761902</v>
      </c>
      <c r="I43" s="77">
        <f t="shared" si="2"/>
        <v>658.77299999999991</v>
      </c>
      <c r="J43" s="77">
        <f t="shared" si="2"/>
        <v>999.67140200000006</v>
      </c>
      <c r="K43" s="77">
        <f t="shared" si="2"/>
        <v>3317.282999999999</v>
      </c>
      <c r="L43" s="77">
        <f t="shared" si="2"/>
        <v>6108.2800000000007</v>
      </c>
      <c r="M43" s="77">
        <f t="shared" si="2"/>
        <v>3533.5370000000007</v>
      </c>
      <c r="N43" s="77">
        <f t="shared" si="2"/>
        <v>15574.825999999999</v>
      </c>
      <c r="O43" s="77">
        <f t="shared" si="2"/>
        <v>80.530000000000015</v>
      </c>
      <c r="P43" s="77">
        <f t="shared" si="2"/>
        <v>23410.003159999997</v>
      </c>
      <c r="Q43" s="77">
        <f t="shared" si="2"/>
        <v>280986.10858877416</v>
      </c>
    </row>
    <row r="44" spans="1:17" ht="14.25" customHeight="1" x14ac:dyDescent="0.2">
      <c r="A44" s="78" t="s">
        <v>168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0"/>
      <c r="N44" s="80"/>
      <c r="O44" s="80"/>
    </row>
    <row r="45" spans="1:17" ht="14.25" customHeight="1" x14ac:dyDescent="0.2">
      <c r="A45" s="155" t="s">
        <v>193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81"/>
    </row>
    <row r="46" spans="1:17" ht="14.25" customHeight="1" x14ac:dyDescent="0.2">
      <c r="A46" s="81" t="s">
        <v>166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</sheetData>
  <mergeCells count="12">
    <mergeCell ref="A45:N45"/>
    <mergeCell ref="G5:H5"/>
    <mergeCell ref="K4:L4"/>
    <mergeCell ref="M4:N4"/>
    <mergeCell ref="P4:Q4"/>
    <mergeCell ref="B4:C4"/>
    <mergeCell ref="D4:E4"/>
    <mergeCell ref="F4:H4"/>
    <mergeCell ref="I4:J4"/>
    <mergeCell ref="A1:Q1"/>
    <mergeCell ref="A2:Q2"/>
    <mergeCell ref="A3:Q3"/>
  </mergeCells>
  <phoneticPr fontId="20" type="noConversion"/>
  <printOptions horizontalCentered="1" verticalCentered="1"/>
  <pageMargins left="0.196850393700787" right="0.196850393700787" top="1.33858267716535" bottom="0.27559055118110198" header="1.0629921259842501" footer="0.15748031496063"/>
  <pageSetup scale="70" orientation="landscape" r:id="rId1"/>
  <headerFooter alignWithMargins="0">
    <oddHeader xml:space="preserve">&amp;C&amp;"Times New Roman,Bold"&amp;18&amp;UArea and Production &amp;"-,Bold"of Horticulture Crops 2014-15 (Final)&amp;R&amp;"-,Bold"Area in '000 Ha 
Production in '000 MT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0"/>
  <sheetViews>
    <sheetView zoomScale="115" zoomScaleNormal="115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A39" sqref="A39"/>
    </sheetView>
  </sheetViews>
  <sheetFormatPr defaultRowHeight="26.25" customHeight="1" x14ac:dyDescent="0.25"/>
  <cols>
    <col min="1" max="1" width="24" style="14" customWidth="1"/>
    <col min="2" max="55" width="10.5703125" style="14" customWidth="1"/>
    <col min="56" max="56" width="10.85546875" style="14" customWidth="1"/>
    <col min="57" max="16384" width="9.140625" style="14"/>
  </cols>
  <sheetData>
    <row r="1" spans="1:55" ht="34.5" customHeight="1" x14ac:dyDescent="0.25">
      <c r="A1" s="60" t="s">
        <v>188</v>
      </c>
      <c r="B1" s="157" t="s">
        <v>89</v>
      </c>
      <c r="C1" s="157"/>
      <c r="D1" s="160" t="s">
        <v>195</v>
      </c>
      <c r="E1" s="159"/>
      <c r="F1" s="158" t="s">
        <v>0</v>
      </c>
      <c r="G1" s="159"/>
      <c r="H1" s="158" t="s">
        <v>90</v>
      </c>
      <c r="I1" s="159"/>
      <c r="J1" s="158" t="s">
        <v>1</v>
      </c>
      <c r="K1" s="159"/>
      <c r="L1" s="158" t="s">
        <v>91</v>
      </c>
      <c r="M1" s="159"/>
      <c r="N1" s="161" t="s">
        <v>92</v>
      </c>
      <c r="O1" s="162"/>
      <c r="P1" s="157" t="s">
        <v>93</v>
      </c>
      <c r="Q1" s="157"/>
      <c r="R1" s="157" t="s">
        <v>2</v>
      </c>
      <c r="S1" s="157"/>
      <c r="T1" s="158" t="s">
        <v>94</v>
      </c>
      <c r="U1" s="159"/>
      <c r="V1" s="157" t="s">
        <v>95</v>
      </c>
      <c r="W1" s="157"/>
      <c r="X1" s="157" t="s">
        <v>3</v>
      </c>
      <c r="Y1" s="157"/>
      <c r="Z1" s="157" t="s">
        <v>4</v>
      </c>
      <c r="AA1" s="157"/>
      <c r="AB1" s="157" t="s">
        <v>5</v>
      </c>
      <c r="AC1" s="157"/>
      <c r="AD1" s="158" t="s">
        <v>96</v>
      </c>
      <c r="AE1" s="159"/>
      <c r="AF1" s="158" t="s">
        <v>97</v>
      </c>
      <c r="AG1" s="159"/>
      <c r="AH1" s="157" t="s">
        <v>98</v>
      </c>
      <c r="AI1" s="157"/>
      <c r="AJ1" s="157" t="s">
        <v>99</v>
      </c>
      <c r="AK1" s="157"/>
      <c r="AL1" s="157" t="s">
        <v>100</v>
      </c>
      <c r="AM1" s="157"/>
      <c r="AN1" s="157" t="s">
        <v>6</v>
      </c>
      <c r="AO1" s="157"/>
      <c r="AP1" s="157" t="s">
        <v>101</v>
      </c>
      <c r="AQ1" s="157"/>
      <c r="AR1" s="157" t="s">
        <v>102</v>
      </c>
      <c r="AS1" s="157"/>
      <c r="AT1" s="157" t="s">
        <v>7</v>
      </c>
      <c r="AU1" s="157"/>
      <c r="AV1" s="158" t="s">
        <v>103</v>
      </c>
      <c r="AW1" s="159"/>
      <c r="AX1" s="157" t="s">
        <v>104</v>
      </c>
      <c r="AY1" s="157"/>
      <c r="AZ1" s="157" t="s">
        <v>105</v>
      </c>
      <c r="BA1" s="157"/>
      <c r="BB1" s="157" t="s">
        <v>106</v>
      </c>
      <c r="BC1" s="157"/>
    </row>
    <row r="2" spans="1:55" ht="21.75" customHeight="1" x14ac:dyDescent="0.25">
      <c r="A2" s="15" t="s">
        <v>220</v>
      </c>
      <c r="B2" s="60" t="s">
        <v>47</v>
      </c>
      <c r="C2" s="60" t="s">
        <v>10</v>
      </c>
      <c r="D2" s="60" t="s">
        <v>47</v>
      </c>
      <c r="E2" s="60" t="s">
        <v>10</v>
      </c>
      <c r="F2" s="60" t="s">
        <v>47</v>
      </c>
      <c r="G2" s="60" t="s">
        <v>10</v>
      </c>
      <c r="H2" s="60" t="s">
        <v>47</v>
      </c>
      <c r="I2" s="60" t="s">
        <v>10</v>
      </c>
      <c r="J2" s="60" t="s">
        <v>47</v>
      </c>
      <c r="K2" s="60" t="s">
        <v>10</v>
      </c>
      <c r="L2" s="60" t="s">
        <v>47</v>
      </c>
      <c r="M2" s="60" t="s">
        <v>10</v>
      </c>
      <c r="N2" s="60" t="s">
        <v>47</v>
      </c>
      <c r="O2" s="60" t="s">
        <v>10</v>
      </c>
      <c r="P2" s="60" t="s">
        <v>47</v>
      </c>
      <c r="Q2" s="60" t="s">
        <v>10</v>
      </c>
      <c r="R2" s="60" t="s">
        <v>47</v>
      </c>
      <c r="S2" s="60" t="s">
        <v>10</v>
      </c>
      <c r="T2" s="60" t="s">
        <v>47</v>
      </c>
      <c r="U2" s="60" t="s">
        <v>10</v>
      </c>
      <c r="V2" s="60" t="s">
        <v>47</v>
      </c>
      <c r="W2" s="60" t="s">
        <v>10</v>
      </c>
      <c r="X2" s="60" t="s">
        <v>47</v>
      </c>
      <c r="Y2" s="60" t="s">
        <v>10</v>
      </c>
      <c r="Z2" s="60" t="s">
        <v>47</v>
      </c>
      <c r="AA2" s="60" t="s">
        <v>10</v>
      </c>
      <c r="AB2" s="60" t="s">
        <v>47</v>
      </c>
      <c r="AC2" s="60" t="s">
        <v>10</v>
      </c>
      <c r="AD2" s="60" t="s">
        <v>47</v>
      </c>
      <c r="AE2" s="60" t="s">
        <v>10</v>
      </c>
      <c r="AF2" s="60" t="s">
        <v>47</v>
      </c>
      <c r="AG2" s="60" t="s">
        <v>10</v>
      </c>
      <c r="AH2" s="60" t="s">
        <v>47</v>
      </c>
      <c r="AI2" s="60" t="s">
        <v>10</v>
      </c>
      <c r="AJ2" s="60" t="s">
        <v>47</v>
      </c>
      <c r="AK2" s="60" t="s">
        <v>10</v>
      </c>
      <c r="AL2" s="60" t="s">
        <v>47</v>
      </c>
      <c r="AM2" s="60" t="s">
        <v>10</v>
      </c>
      <c r="AN2" s="60" t="s">
        <v>47</v>
      </c>
      <c r="AO2" s="60" t="s">
        <v>10</v>
      </c>
      <c r="AP2" s="60" t="s">
        <v>47</v>
      </c>
      <c r="AQ2" s="60" t="s">
        <v>10</v>
      </c>
      <c r="AR2" s="60" t="s">
        <v>47</v>
      </c>
      <c r="AS2" s="60" t="s">
        <v>10</v>
      </c>
      <c r="AT2" s="60" t="s">
        <v>47</v>
      </c>
      <c r="AU2" s="60" t="s">
        <v>10</v>
      </c>
      <c r="AV2" s="60" t="s">
        <v>47</v>
      </c>
      <c r="AW2" s="60" t="s">
        <v>10</v>
      </c>
      <c r="AX2" s="60" t="s">
        <v>47</v>
      </c>
      <c r="AY2" s="60" t="s">
        <v>10</v>
      </c>
      <c r="AZ2" s="60" t="s">
        <v>47</v>
      </c>
      <c r="BA2" s="60" t="s">
        <v>10</v>
      </c>
      <c r="BB2" s="60" t="s">
        <v>47</v>
      </c>
      <c r="BC2" s="60" t="s">
        <v>10</v>
      </c>
    </row>
    <row r="3" spans="1:55" ht="21.75" customHeight="1" x14ac:dyDescent="0.25">
      <c r="A3" s="16" t="s">
        <v>11</v>
      </c>
      <c r="B3" s="6"/>
      <c r="C3" s="6"/>
      <c r="D3" s="6"/>
      <c r="E3" s="6"/>
      <c r="F3" s="6"/>
      <c r="G3" s="6"/>
      <c r="H3" s="6"/>
      <c r="I3" s="6"/>
      <c r="J3" s="6">
        <v>1.841</v>
      </c>
      <c r="K3" s="6">
        <v>15.962</v>
      </c>
      <c r="L3" s="6"/>
      <c r="M3" s="6"/>
      <c r="N3" s="6">
        <v>3.2000000000000001E-2</v>
      </c>
      <c r="O3" s="6">
        <v>0.08</v>
      </c>
      <c r="P3" s="6"/>
      <c r="Q3" s="6"/>
      <c r="R3" s="6">
        <v>9.0999999999999998E-2</v>
      </c>
      <c r="S3" s="6">
        <v>0.50800000000000001</v>
      </c>
      <c r="T3" s="6"/>
      <c r="U3" s="6"/>
      <c r="V3" s="6"/>
      <c r="W3" s="6"/>
      <c r="X3" s="6"/>
      <c r="Y3" s="6"/>
      <c r="Z3" s="6">
        <v>0.40400000000000003</v>
      </c>
      <c r="AA3" s="6">
        <v>2.93</v>
      </c>
      <c r="AB3" s="6">
        <v>0.32900000000000001</v>
      </c>
      <c r="AC3" s="6">
        <v>3.4620000000000002</v>
      </c>
      <c r="AD3" s="6"/>
      <c r="AE3" s="6"/>
      <c r="AF3" s="17">
        <f>' Citrus 2014-15(Final)'!J3</f>
        <v>0.34600000000000003</v>
      </c>
      <c r="AG3" s="17">
        <f>' Citrus 2014-15(Final)'!K3</f>
        <v>1.228</v>
      </c>
      <c r="AH3" s="6"/>
      <c r="AI3" s="6"/>
      <c r="AJ3" s="6"/>
      <c r="AK3" s="6"/>
      <c r="AL3" s="6"/>
      <c r="AM3" s="6"/>
      <c r="AN3" s="6">
        <v>0.13300000000000001</v>
      </c>
      <c r="AO3" s="6">
        <v>3.0129999999999999</v>
      </c>
      <c r="AP3" s="6"/>
      <c r="AQ3" s="6"/>
      <c r="AR3" s="6">
        <v>6.0000000000000001E-3</v>
      </c>
      <c r="AS3" s="6">
        <v>2E-3</v>
      </c>
      <c r="AT3" s="6">
        <v>0.27800000000000002</v>
      </c>
      <c r="AU3" s="6">
        <v>2.2949999999999999</v>
      </c>
      <c r="AV3" s="6"/>
      <c r="AW3" s="6"/>
      <c r="AX3" s="6"/>
      <c r="AY3" s="6"/>
      <c r="AZ3" s="6">
        <v>0.216</v>
      </c>
      <c r="BA3" s="6">
        <v>2.1179999999999999</v>
      </c>
      <c r="BB3" s="17">
        <f>B3+D3+F3+H3+J3+L3+N3+P3+R3+T3+V3+X3+Z3+AB3+AD3+AF3+AH3+AJ3+AL3+AN3+AP3+AR3+AT3+AV3+AX3+AZ3</f>
        <v>3.6760000000000002</v>
      </c>
      <c r="BC3" s="17">
        <f>C3+E3+G3+I3+K3+M3+O3+Q3+S3+U3+W3+Y3+AA3+AC3+AE3+AG3+AI3+AK3+AM3+AO3+AQ3+AS3+AU3+AW3+AY3+BA3</f>
        <v>31.597999999999995</v>
      </c>
    </row>
    <row r="4" spans="1:55" ht="21.75" customHeight="1" x14ac:dyDescent="0.25">
      <c r="A4" s="3" t="s">
        <v>12</v>
      </c>
      <c r="B4" s="6"/>
      <c r="C4" s="6"/>
      <c r="D4" s="6">
        <v>0.85199999999999998</v>
      </c>
      <c r="E4" s="6">
        <v>9.1739999999999995</v>
      </c>
      <c r="F4" s="6"/>
      <c r="G4" s="6"/>
      <c r="H4" s="6"/>
      <c r="I4" s="6"/>
      <c r="J4" s="6">
        <v>79.36</v>
      </c>
      <c r="K4" s="6">
        <v>3487.308</v>
      </c>
      <c r="L4" s="6">
        <v>1.0589999999999999</v>
      </c>
      <c r="M4" s="6">
        <v>18.577999999999999</v>
      </c>
      <c r="N4" s="6">
        <v>1.2609999999999999</v>
      </c>
      <c r="O4" s="6">
        <v>8.4890000000000008</v>
      </c>
      <c r="P4" s="6">
        <v>0.61699999999999999</v>
      </c>
      <c r="Q4" s="6">
        <v>11.19</v>
      </c>
      <c r="R4" s="6">
        <v>6.1779999999999999</v>
      </c>
      <c r="S4" s="6">
        <v>100.52800000000001</v>
      </c>
      <c r="T4" s="6">
        <v>3.9E-2</v>
      </c>
      <c r="U4" s="6">
        <v>0.54</v>
      </c>
      <c r="V4" s="6"/>
      <c r="W4" s="6"/>
      <c r="X4" s="6"/>
      <c r="Y4" s="6"/>
      <c r="Z4" s="6">
        <v>315.41500000000002</v>
      </c>
      <c r="AA4" s="6">
        <v>2822.0749999999998</v>
      </c>
      <c r="AB4" s="6">
        <v>8.74</v>
      </c>
      <c r="AC4" s="6">
        <v>688.274</v>
      </c>
      <c r="AD4" s="6"/>
      <c r="AE4" s="6"/>
      <c r="AF4" s="17">
        <f>' Citrus 2014-15(Final)'!J4</f>
        <v>111.08500000000001</v>
      </c>
      <c r="AG4" s="17">
        <f>' Citrus 2014-15(Final)'!K4</f>
        <v>1717.34</v>
      </c>
      <c r="AH4" s="6"/>
      <c r="AI4" s="6"/>
      <c r="AJ4" s="6"/>
      <c r="AK4" s="6"/>
      <c r="AL4" s="6"/>
      <c r="AM4" s="6"/>
      <c r="AN4" s="6">
        <v>2.7909999999999999</v>
      </c>
      <c r="AO4" s="6">
        <v>35.963000000000001</v>
      </c>
      <c r="AP4" s="6"/>
      <c r="AQ4" s="6"/>
      <c r="AR4" s="6">
        <v>5.3840000000000003</v>
      </c>
      <c r="AS4" s="6">
        <v>76.69</v>
      </c>
      <c r="AT4" s="6">
        <v>10.92</v>
      </c>
      <c r="AU4" s="6">
        <v>130.458</v>
      </c>
      <c r="AV4" s="6"/>
      <c r="AW4" s="6"/>
      <c r="AX4" s="6"/>
      <c r="AY4" s="6"/>
      <c r="AZ4" s="6">
        <v>2.1549999999999998</v>
      </c>
      <c r="BA4" s="6">
        <v>15.016</v>
      </c>
      <c r="BB4" s="17">
        <f t="shared" ref="BB4:BB37" si="0">B4+D4+F4+H4+J4+L4+N4+P4+R4+T4+V4+X4+Z4+AB4+AD4+AF4+AH4+AJ4+AL4+AN4+AP4+AR4+AT4+AV4+AX4+AZ4</f>
        <v>545.85599999999999</v>
      </c>
      <c r="BC4" s="17">
        <f t="shared" ref="BC4:BC37" si="1">C4+E4+G4+I4+K4+M4+O4+Q4+S4+U4+W4+Y4+AA4+AC4+AE4+AG4+AI4+AK4+AM4+AO4+AQ4+AS4+AU4+AW4+AY4+BA4</f>
        <v>9121.6229999999996</v>
      </c>
    </row>
    <row r="5" spans="1:55" ht="21.75" customHeight="1" x14ac:dyDescent="0.25">
      <c r="A5" s="18" t="s">
        <v>13</v>
      </c>
      <c r="B5" s="6"/>
      <c r="C5" s="6"/>
      <c r="D5" s="6"/>
      <c r="E5" s="6"/>
      <c r="F5" s="6">
        <v>14.5</v>
      </c>
      <c r="G5" s="6">
        <v>32</v>
      </c>
      <c r="H5" s="6"/>
      <c r="I5" s="6"/>
      <c r="J5" s="6">
        <v>6.5</v>
      </c>
      <c r="K5" s="6">
        <v>20</v>
      </c>
      <c r="L5" s="6"/>
      <c r="M5" s="6"/>
      <c r="N5" s="6"/>
      <c r="O5" s="6"/>
      <c r="P5" s="6"/>
      <c r="Q5" s="6"/>
      <c r="R5" s="6"/>
      <c r="S5" s="6"/>
      <c r="T5" s="6"/>
      <c r="U5" s="6"/>
      <c r="V5" s="6">
        <v>4</v>
      </c>
      <c r="W5" s="6">
        <v>4.8</v>
      </c>
      <c r="X5" s="6"/>
      <c r="Y5" s="6"/>
      <c r="Z5" s="6"/>
      <c r="AA5" s="6"/>
      <c r="AB5" s="6"/>
      <c r="AC5" s="6"/>
      <c r="AD5" s="6"/>
      <c r="AE5" s="6"/>
      <c r="AF5" s="17">
        <f>' Citrus 2014-15(Final)'!J5</f>
        <v>40</v>
      </c>
      <c r="AG5" s="17">
        <f>' Citrus 2014-15(Final)'!K5</f>
        <v>190</v>
      </c>
      <c r="AH5" s="6"/>
      <c r="AI5" s="6"/>
      <c r="AJ5" s="6"/>
      <c r="AK5" s="6"/>
      <c r="AL5" s="6"/>
      <c r="AM5" s="6"/>
      <c r="AN5" s="6">
        <v>13</v>
      </c>
      <c r="AO5" s="6">
        <v>70</v>
      </c>
      <c r="AP5" s="6"/>
      <c r="AQ5" s="6"/>
      <c r="AR5" s="6"/>
      <c r="AS5" s="6"/>
      <c r="AT5" s="6"/>
      <c r="AU5" s="6"/>
      <c r="AV5" s="6"/>
      <c r="AW5" s="6"/>
      <c r="AX5" s="6">
        <v>5</v>
      </c>
      <c r="AY5" s="6">
        <v>0.6</v>
      </c>
      <c r="AZ5" s="6">
        <v>7</v>
      </c>
      <c r="BA5" s="6">
        <v>14</v>
      </c>
      <c r="BB5" s="17">
        <f t="shared" si="0"/>
        <v>90</v>
      </c>
      <c r="BC5" s="17">
        <f t="shared" si="1"/>
        <v>331.40000000000003</v>
      </c>
    </row>
    <row r="6" spans="1:55" ht="21.75" customHeight="1" x14ac:dyDescent="0.25">
      <c r="A6" s="16" t="s">
        <v>14</v>
      </c>
      <c r="B6" s="6"/>
      <c r="C6" s="6"/>
      <c r="D6" s="6">
        <v>0.89900000000000002</v>
      </c>
      <c r="E6" s="6">
        <v>16.271999999999998</v>
      </c>
      <c r="F6" s="6"/>
      <c r="G6" s="6"/>
      <c r="H6" s="6"/>
      <c r="I6" s="6"/>
      <c r="J6" s="6">
        <v>51.279000000000003</v>
      </c>
      <c r="K6" s="6">
        <v>865.66899999999998</v>
      </c>
      <c r="L6" s="6"/>
      <c r="M6" s="6"/>
      <c r="N6" s="6"/>
      <c r="O6" s="6"/>
      <c r="P6" s="6"/>
      <c r="Q6" s="6"/>
      <c r="R6" s="6">
        <v>4.2270000000000003</v>
      </c>
      <c r="S6" s="6">
        <v>84.518000000000001</v>
      </c>
      <c r="T6" s="6">
        <v>21.945</v>
      </c>
      <c r="U6" s="6">
        <v>195.63900000000001</v>
      </c>
      <c r="V6" s="6"/>
      <c r="W6" s="6"/>
      <c r="X6" s="6">
        <v>5.4349999999999996</v>
      </c>
      <c r="Y6" s="6">
        <v>48.725000000000001</v>
      </c>
      <c r="Z6" s="6">
        <v>4.5869999999999997</v>
      </c>
      <c r="AA6" s="6">
        <v>45.689</v>
      </c>
      <c r="AB6" s="6">
        <v>7.4180000000000001</v>
      </c>
      <c r="AC6" s="6">
        <v>148.857</v>
      </c>
      <c r="AD6" s="6"/>
      <c r="AE6" s="6"/>
      <c r="AF6" s="17">
        <f>' Citrus 2014-15(Final)'!J6</f>
        <v>28.975999999999999</v>
      </c>
      <c r="AG6" s="17">
        <f>' Citrus 2014-15(Final)'!K6</f>
        <v>308.75700000000001</v>
      </c>
      <c r="AH6" s="6"/>
      <c r="AI6" s="6"/>
      <c r="AJ6" s="6"/>
      <c r="AK6" s="6"/>
      <c r="AL6" s="6"/>
      <c r="AM6" s="6"/>
      <c r="AN6" s="6">
        <v>16.007000000000001</v>
      </c>
      <c r="AO6" s="6">
        <v>281.27100000000002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>
        <v>4.4400000000000004</v>
      </c>
      <c r="BA6" s="6">
        <v>34.743000000000002</v>
      </c>
      <c r="BB6" s="17">
        <f t="shared" si="0"/>
        <v>145.21299999999999</v>
      </c>
      <c r="BC6" s="17">
        <f t="shared" si="1"/>
        <v>2030.1399999999999</v>
      </c>
    </row>
    <row r="7" spans="1:55" ht="21.75" customHeight="1" x14ac:dyDescent="0.25">
      <c r="A7" s="16" t="s">
        <v>15</v>
      </c>
      <c r="B7" s="6"/>
      <c r="C7" s="6"/>
      <c r="D7" s="6">
        <v>1</v>
      </c>
      <c r="E7" s="6">
        <v>15</v>
      </c>
      <c r="F7" s="6"/>
      <c r="G7" s="6"/>
      <c r="H7" s="6"/>
      <c r="I7" s="6"/>
      <c r="J7" s="6">
        <v>35</v>
      </c>
      <c r="K7" s="6">
        <v>1535</v>
      </c>
      <c r="L7" s="6"/>
      <c r="M7" s="6"/>
      <c r="N7" s="6"/>
      <c r="O7" s="6"/>
      <c r="P7" s="6"/>
      <c r="Q7" s="6"/>
      <c r="R7" s="6">
        <v>29</v>
      </c>
      <c r="S7" s="6">
        <v>370</v>
      </c>
      <c r="T7" s="6"/>
      <c r="U7" s="6"/>
      <c r="V7" s="6"/>
      <c r="W7" s="6"/>
      <c r="X7" s="6">
        <v>32</v>
      </c>
      <c r="Y7" s="6">
        <v>198</v>
      </c>
      <c r="Z7" s="6">
        <v>148</v>
      </c>
      <c r="AA7" s="6">
        <v>1272</v>
      </c>
      <c r="AB7" s="6">
        <v>2</v>
      </c>
      <c r="AC7" s="6">
        <v>44</v>
      </c>
      <c r="AD7" s="6"/>
      <c r="AE7" s="6"/>
      <c r="AF7" s="17">
        <f>' Citrus 2014-15(Final)'!J7</f>
        <v>18</v>
      </c>
      <c r="AG7" s="17">
        <f>' Citrus 2014-15(Final)'!K7</f>
        <v>129</v>
      </c>
      <c r="AH7" s="6"/>
      <c r="AI7" s="6"/>
      <c r="AJ7" s="6"/>
      <c r="AK7" s="6"/>
      <c r="AL7" s="6"/>
      <c r="AM7" s="6"/>
      <c r="AN7" s="6">
        <v>4</v>
      </c>
      <c r="AO7" s="6">
        <v>116</v>
      </c>
      <c r="AP7" s="6"/>
      <c r="AQ7" s="6"/>
      <c r="AR7" s="6"/>
      <c r="AS7" s="6"/>
      <c r="AT7" s="6"/>
      <c r="AU7" s="6"/>
      <c r="AV7" s="6"/>
      <c r="AW7" s="6"/>
      <c r="AX7" s="6"/>
      <c r="AY7" s="6"/>
      <c r="AZ7" s="6">
        <v>32</v>
      </c>
      <c r="BA7" s="6">
        <v>311</v>
      </c>
      <c r="BB7" s="17">
        <f t="shared" si="0"/>
        <v>301</v>
      </c>
      <c r="BC7" s="17">
        <f t="shared" si="1"/>
        <v>3990</v>
      </c>
    </row>
    <row r="8" spans="1:55" ht="21.75" customHeight="1" x14ac:dyDescent="0.25">
      <c r="A8" s="16" t="s">
        <v>183</v>
      </c>
      <c r="B8" s="6"/>
      <c r="C8" s="6"/>
      <c r="D8" s="6">
        <v>3.3540000000000001</v>
      </c>
      <c r="E8" s="6">
        <v>36.204999999999998</v>
      </c>
      <c r="F8" s="6"/>
      <c r="G8" s="6"/>
      <c r="H8" s="6"/>
      <c r="I8" s="6"/>
      <c r="J8" s="6">
        <v>23.87</v>
      </c>
      <c r="K8" s="6">
        <v>564.43399999999997</v>
      </c>
      <c r="L8" s="6">
        <v>3.903</v>
      </c>
      <c r="M8" s="6">
        <v>71.037999999999997</v>
      </c>
      <c r="N8" s="6">
        <v>7.99</v>
      </c>
      <c r="O8" s="6">
        <v>39.732999999999997</v>
      </c>
      <c r="P8" s="6"/>
      <c r="Q8" s="6"/>
      <c r="R8" s="6">
        <v>19.61</v>
      </c>
      <c r="S8" s="6">
        <v>171.881</v>
      </c>
      <c r="T8" s="6">
        <v>8.734</v>
      </c>
      <c r="U8" s="6">
        <v>176.25299999999999</v>
      </c>
      <c r="V8" s="6"/>
      <c r="W8" s="6"/>
      <c r="X8" s="6">
        <v>5.548</v>
      </c>
      <c r="Y8" s="6">
        <v>39.152000000000001</v>
      </c>
      <c r="Z8" s="6">
        <v>67.119</v>
      </c>
      <c r="AA8" s="6">
        <v>386.66699999999997</v>
      </c>
      <c r="AB8" s="6">
        <v>12.41</v>
      </c>
      <c r="AC8" s="6">
        <v>275.78800000000001</v>
      </c>
      <c r="AD8" s="6"/>
      <c r="AE8" s="6"/>
      <c r="AF8" s="17">
        <f>' Citrus 2014-15(Final)'!J8</f>
        <v>11.765000000000001</v>
      </c>
      <c r="AG8" s="17">
        <f>' Citrus 2014-15(Final)'!K8</f>
        <v>85.49799999999999</v>
      </c>
      <c r="AH8" s="6"/>
      <c r="AI8" s="6"/>
      <c r="AJ8" s="6">
        <v>0.97499999999999998</v>
      </c>
      <c r="AK8" s="6">
        <v>5.0449999999999999</v>
      </c>
      <c r="AL8" s="6"/>
      <c r="AM8" s="6"/>
      <c r="AN8" s="6"/>
      <c r="AO8" s="6"/>
      <c r="AP8" s="6"/>
      <c r="AQ8" s="6"/>
      <c r="AR8" s="6">
        <v>0.27400000000000002</v>
      </c>
      <c r="AS8" s="6">
        <v>2.036</v>
      </c>
      <c r="AT8" s="6">
        <v>0.20499999999999999</v>
      </c>
      <c r="AU8" s="6">
        <v>1.07</v>
      </c>
      <c r="AV8" s="6"/>
      <c r="AW8" s="6"/>
      <c r="AX8" s="6"/>
      <c r="AY8" s="6"/>
      <c r="AZ8" s="6">
        <v>26.327999999999999</v>
      </c>
      <c r="BA8" s="6">
        <v>216.34399999999999</v>
      </c>
      <c r="BB8" s="17">
        <f t="shared" si="0"/>
        <v>192.08500000000001</v>
      </c>
      <c r="BC8" s="17">
        <f t="shared" si="1"/>
        <v>2071.1439999999998</v>
      </c>
    </row>
    <row r="9" spans="1:55" ht="21.75" customHeight="1" x14ac:dyDescent="0.25">
      <c r="A9" s="3" t="s">
        <v>16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7">
        <f>' Citrus 2014-15(Final)'!J9</f>
        <v>0</v>
      </c>
      <c r="AG9" s="17">
        <f>' Citrus 2014-15(Final)'!K9</f>
        <v>0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17">
        <f t="shared" si="0"/>
        <v>0</v>
      </c>
      <c r="BC9" s="17">
        <f t="shared" si="1"/>
        <v>0</v>
      </c>
    </row>
    <row r="10" spans="1:55" ht="21.75" customHeight="1" x14ac:dyDescent="0.25">
      <c r="A10" s="16" t="s">
        <v>17</v>
      </c>
      <c r="B10" s="6"/>
      <c r="C10" s="6"/>
      <c r="D10" s="6"/>
      <c r="E10" s="6"/>
      <c r="F10" s="6"/>
      <c r="G10" s="6"/>
      <c r="H10" s="6"/>
      <c r="I10" s="6"/>
      <c r="J10" s="6">
        <v>3.0000000000000001E-3</v>
      </c>
      <c r="K10" s="6">
        <v>0.04</v>
      </c>
      <c r="L10" s="6">
        <v>2.0000000000000001E-4</v>
      </c>
      <c r="M10" s="6">
        <v>3.0000000000000001E-3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0.17399999999999999</v>
      </c>
      <c r="AA10" s="6">
        <v>2.0499999999999998</v>
      </c>
      <c r="AB10" s="6"/>
      <c r="AC10" s="6"/>
      <c r="AD10" s="6"/>
      <c r="AE10" s="6"/>
      <c r="AF10" s="17">
        <f>' Citrus 2014-15(Final)'!J10</f>
        <v>9.9999999999999985E-3</v>
      </c>
      <c r="AG10" s="17">
        <f>' Citrus 2014-15(Final)'!K10</f>
        <v>9.0000000000000011E-3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>
        <v>5.8999999999999997E-2</v>
      </c>
      <c r="BA10" s="6">
        <v>0.49099999999999999</v>
      </c>
      <c r="BB10" s="17">
        <f t="shared" si="0"/>
        <v>0.2462</v>
      </c>
      <c r="BC10" s="17">
        <f t="shared" si="1"/>
        <v>2.593</v>
      </c>
    </row>
    <row r="11" spans="1:55" ht="21.75" customHeight="1" x14ac:dyDescent="0.25">
      <c r="A11" s="16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2.1000000000000001E-2</v>
      </c>
      <c r="AA11" s="6">
        <v>0.14699999999999999</v>
      </c>
      <c r="AB11" s="6"/>
      <c r="AC11" s="6"/>
      <c r="AD11" s="6"/>
      <c r="AE11" s="6"/>
      <c r="AF11" s="17">
        <f>' Citrus 2014-15(Final)'!J11</f>
        <v>6.0999999999999999E-2</v>
      </c>
      <c r="AG11" s="17">
        <f>' Citrus 2014-15(Final)'!K11</f>
        <v>0.45400000000000001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17">
        <f t="shared" si="0"/>
        <v>8.2000000000000003E-2</v>
      </c>
      <c r="BC11" s="17">
        <f t="shared" si="1"/>
        <v>0.60099999999999998</v>
      </c>
    </row>
    <row r="12" spans="1:55" ht="21.75" customHeight="1" x14ac:dyDescent="0.25">
      <c r="A12" s="16" t="s">
        <v>19</v>
      </c>
      <c r="B12" s="6"/>
      <c r="C12" s="6"/>
      <c r="D12" s="6"/>
      <c r="E12" s="6"/>
      <c r="F12" s="6"/>
      <c r="G12" s="6"/>
      <c r="H12" s="6"/>
      <c r="I12" s="6"/>
      <c r="J12" s="6">
        <v>2.38</v>
      </c>
      <c r="K12" s="6">
        <v>26.882000000000001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4.843</v>
      </c>
      <c r="AA12" s="6">
        <v>8.8870000000000005</v>
      </c>
      <c r="AB12" s="6"/>
      <c r="AC12" s="6"/>
      <c r="AD12" s="6"/>
      <c r="AE12" s="6"/>
      <c r="AF12" s="17">
        <f>' Citrus 2014-15(Final)'!J12</f>
        <v>0</v>
      </c>
      <c r="AG12" s="17">
        <f>' Citrus 2014-15(Final)'!K12</f>
        <v>0</v>
      </c>
      <c r="AH12" s="6"/>
      <c r="AI12" s="6"/>
      <c r="AJ12" s="6"/>
      <c r="AK12" s="6"/>
      <c r="AL12" s="6"/>
      <c r="AM12" s="6"/>
      <c r="AN12" s="6">
        <v>0.36699999999999999</v>
      </c>
      <c r="AO12" s="6">
        <v>6.085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>
        <v>3.867</v>
      </c>
      <c r="BA12" s="6">
        <v>41.241999999999997</v>
      </c>
      <c r="BB12" s="17">
        <f t="shared" si="0"/>
        <v>11.457000000000001</v>
      </c>
      <c r="BC12" s="17">
        <f t="shared" si="1"/>
        <v>83.096000000000004</v>
      </c>
    </row>
    <row r="13" spans="1:55" ht="21.75" customHeight="1" x14ac:dyDescent="0.25">
      <c r="A13" s="16" t="s">
        <v>20</v>
      </c>
      <c r="B13" s="6"/>
      <c r="C13" s="6"/>
      <c r="D13" s="6">
        <v>9.6690000000000005</v>
      </c>
      <c r="E13" s="6">
        <v>95.625</v>
      </c>
      <c r="F13" s="6"/>
      <c r="G13" s="6"/>
      <c r="H13" s="6"/>
      <c r="I13" s="6"/>
      <c r="J13" s="6">
        <v>67.016000000000005</v>
      </c>
      <c r="K13" s="6">
        <v>4324.3580000000002</v>
      </c>
      <c r="L13" s="6">
        <v>11.88</v>
      </c>
      <c r="M13" s="6">
        <v>120.916</v>
      </c>
      <c r="N13" s="6">
        <v>5.3360000000000003</v>
      </c>
      <c r="O13" s="6">
        <v>55.039000000000001</v>
      </c>
      <c r="P13" s="6"/>
      <c r="Q13" s="6"/>
      <c r="R13" s="6">
        <v>11.144</v>
      </c>
      <c r="S13" s="6">
        <v>146.05699999999999</v>
      </c>
      <c r="T13" s="6"/>
      <c r="U13" s="6"/>
      <c r="V13" s="6"/>
      <c r="W13" s="6"/>
      <c r="X13" s="6"/>
      <c r="Y13" s="6"/>
      <c r="Z13" s="6">
        <v>150.048</v>
      </c>
      <c r="AA13" s="6">
        <v>1219.711</v>
      </c>
      <c r="AB13" s="6">
        <v>19.128</v>
      </c>
      <c r="AC13" s="6">
        <v>1170.6389999999999</v>
      </c>
      <c r="AD13" s="6"/>
      <c r="AE13" s="6"/>
      <c r="AF13" s="17">
        <f>' Citrus 2014-15(Final)'!J13</f>
        <v>41.741999999999997</v>
      </c>
      <c r="AG13" s="17">
        <f>' Citrus 2014-15(Final)'!K13</f>
        <v>462.41500000000002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>
        <v>14.768000000000001</v>
      </c>
      <c r="AS13" s="6">
        <v>171.66</v>
      </c>
      <c r="AT13" s="6">
        <v>29.420999999999999</v>
      </c>
      <c r="AU13" s="6">
        <v>321.31900000000002</v>
      </c>
      <c r="AV13" s="6"/>
      <c r="AW13" s="6"/>
      <c r="AX13" s="6"/>
      <c r="AY13" s="6"/>
      <c r="AZ13" s="6">
        <f>6.39+17.882</f>
        <v>24.272000000000002</v>
      </c>
      <c r="BA13" s="6">
        <f>48.578+164.281</f>
        <v>212.85900000000001</v>
      </c>
      <c r="BB13" s="17">
        <f t="shared" si="0"/>
        <v>384.42399999999998</v>
      </c>
      <c r="BC13" s="17">
        <f t="shared" si="1"/>
        <v>8300.598</v>
      </c>
    </row>
    <row r="14" spans="1:55" ht="21.75" customHeight="1" x14ac:dyDescent="0.25">
      <c r="A14" s="16" t="s">
        <v>21</v>
      </c>
      <c r="B14" s="6"/>
      <c r="C14" s="6"/>
      <c r="D14" s="6">
        <v>2.2290000000000001</v>
      </c>
      <c r="E14" s="6">
        <v>11.015000000000001</v>
      </c>
      <c r="F14" s="6"/>
      <c r="G14" s="6"/>
      <c r="H14" s="6">
        <v>9.5000000000000001E-2</v>
      </c>
      <c r="I14" s="6">
        <v>7.0000000000000007E-2</v>
      </c>
      <c r="J14" s="6"/>
      <c r="K14" s="6"/>
      <c r="L14" s="6">
        <v>4.1879999999999997</v>
      </c>
      <c r="M14" s="6">
        <v>39.088000000000001</v>
      </c>
      <c r="N14" s="6"/>
      <c r="O14" s="6"/>
      <c r="P14" s="6">
        <v>3.7999999999999999E-2</v>
      </c>
      <c r="Q14" s="6">
        <v>0.157</v>
      </c>
      <c r="R14" s="6">
        <v>10.843</v>
      </c>
      <c r="S14" s="6">
        <v>136.72999999999999</v>
      </c>
      <c r="T14" s="6"/>
      <c r="U14" s="6"/>
      <c r="V14" s="6"/>
      <c r="W14" s="6"/>
      <c r="X14" s="6">
        <v>0.19900000000000001</v>
      </c>
      <c r="Y14" s="6">
        <v>3.4049999999999998</v>
      </c>
      <c r="Z14" s="6">
        <v>9.2219999999999995</v>
      </c>
      <c r="AA14" s="6">
        <v>88.724000000000004</v>
      </c>
      <c r="AB14" s="6"/>
      <c r="AC14" s="6"/>
      <c r="AD14" s="6"/>
      <c r="AE14" s="6"/>
      <c r="AF14" s="17">
        <f>' Citrus 2014-15(Final)'!J14</f>
        <v>19.498999999999999</v>
      </c>
      <c r="AG14" s="17">
        <f>' Citrus 2014-15(Final)'!K14</f>
        <v>302.065</v>
      </c>
      <c r="AH14" s="6">
        <v>0.254</v>
      </c>
      <c r="AI14" s="6">
        <v>2.7570000000000001</v>
      </c>
      <c r="AJ14" s="6">
        <v>0.27</v>
      </c>
      <c r="AK14" s="6">
        <v>4.343</v>
      </c>
      <c r="AL14" s="6"/>
      <c r="AM14" s="6"/>
      <c r="AN14" s="6"/>
      <c r="AO14" s="6"/>
      <c r="AP14" s="6">
        <v>6.6000000000000003E-2</v>
      </c>
      <c r="AQ14" s="6">
        <v>0.92600000000000005</v>
      </c>
      <c r="AR14" s="6"/>
      <c r="AS14" s="6"/>
      <c r="AT14" s="6">
        <v>1.603</v>
      </c>
      <c r="AU14" s="6">
        <v>13.917</v>
      </c>
      <c r="AV14" s="6">
        <v>0.14099999999999999</v>
      </c>
      <c r="AW14" s="6">
        <v>1.383</v>
      </c>
      <c r="AX14" s="6"/>
      <c r="AY14" s="6"/>
      <c r="AZ14" s="6">
        <v>11.803000000000001</v>
      </c>
      <c r="BA14" s="6">
        <v>99.094999999999999</v>
      </c>
      <c r="BB14" s="17">
        <f t="shared" si="0"/>
        <v>60.45</v>
      </c>
      <c r="BC14" s="17">
        <f t="shared" si="1"/>
        <v>703.67500000000007</v>
      </c>
    </row>
    <row r="15" spans="1:55" ht="21.75" customHeight="1" x14ac:dyDescent="0.25">
      <c r="A15" s="16" t="s">
        <v>22</v>
      </c>
      <c r="B15" s="6">
        <v>5.2210000000000001</v>
      </c>
      <c r="C15" s="6">
        <v>0.89900000000000002</v>
      </c>
      <c r="D15" s="6">
        <v>2.323</v>
      </c>
      <c r="E15" s="6">
        <v>2.0499999999999998</v>
      </c>
      <c r="F15" s="6">
        <v>109.553</v>
      </c>
      <c r="G15" s="6">
        <v>625.19899999999996</v>
      </c>
      <c r="H15" s="6">
        <v>1.4999999999999999E-2</v>
      </c>
      <c r="I15" s="6">
        <v>3.9E-2</v>
      </c>
      <c r="J15" s="6">
        <v>8.7999999999999995E-2</v>
      </c>
      <c r="K15" s="6">
        <v>0.28599999999999998</v>
      </c>
      <c r="L15" s="6">
        <v>3.1E-2</v>
      </c>
      <c r="M15" s="6">
        <v>5.0000000000000001E-3</v>
      </c>
      <c r="N15" s="6"/>
      <c r="O15" s="6"/>
      <c r="P15" s="6">
        <v>9.2999999999999999E-2</v>
      </c>
      <c r="Q15" s="6">
        <v>0.13500000000000001</v>
      </c>
      <c r="R15" s="6">
        <v>2.1930000000000001</v>
      </c>
      <c r="S15" s="6">
        <v>2.76</v>
      </c>
      <c r="T15" s="6">
        <v>0.85699999999999998</v>
      </c>
      <c r="U15" s="6">
        <v>0.54500000000000004</v>
      </c>
      <c r="V15" s="6">
        <v>0.121</v>
      </c>
      <c r="W15" s="6">
        <v>0.26300000000000001</v>
      </c>
      <c r="X15" s="6">
        <v>5.2309999999999999</v>
      </c>
      <c r="Y15" s="6">
        <v>3.4940000000000002</v>
      </c>
      <c r="Z15" s="6">
        <v>41.104999999999997</v>
      </c>
      <c r="AA15" s="6">
        <v>47.612000000000002</v>
      </c>
      <c r="AB15" s="6">
        <v>0.21199999999999999</v>
      </c>
      <c r="AC15" s="6">
        <v>1.1060000000000001</v>
      </c>
      <c r="AD15" s="6"/>
      <c r="AE15" s="6"/>
      <c r="AF15" s="17">
        <f>' Citrus 2014-15(Final)'!J15</f>
        <v>23.704000000000001</v>
      </c>
      <c r="AG15" s="17">
        <f>' Citrus 2014-15(Final)'!K15</f>
        <v>22.164999999999999</v>
      </c>
      <c r="AH15" s="6">
        <v>5.1130000000000004</v>
      </c>
      <c r="AI15" s="6">
        <v>4.2480000000000002</v>
      </c>
      <c r="AJ15" s="6">
        <v>7.1059999999999999</v>
      </c>
      <c r="AK15" s="6">
        <v>20.22</v>
      </c>
      <c r="AL15" s="6">
        <v>0.874</v>
      </c>
      <c r="AM15" s="6">
        <v>0.124</v>
      </c>
      <c r="AN15" s="6"/>
      <c r="AO15" s="6"/>
      <c r="AP15" s="6">
        <v>8.5820000000000007</v>
      </c>
      <c r="AQ15" s="6">
        <v>10.827</v>
      </c>
      <c r="AR15" s="6">
        <v>2.3319999999999999</v>
      </c>
      <c r="AS15" s="6">
        <v>1.7</v>
      </c>
      <c r="AT15" s="6">
        <v>4.9000000000000002E-2</v>
      </c>
      <c r="AU15" s="6">
        <v>6.0000000000000001E-3</v>
      </c>
      <c r="AV15" s="6">
        <v>5.3999999999999999E-2</v>
      </c>
      <c r="AW15" s="6">
        <v>0.55900000000000005</v>
      </c>
      <c r="AX15" s="6">
        <v>4.5129999999999999</v>
      </c>
      <c r="AY15" s="6">
        <v>1.5680000000000001</v>
      </c>
      <c r="AZ15" s="6">
        <v>4.9820000000000002</v>
      </c>
      <c r="BA15" s="6">
        <v>6.1280000000000001</v>
      </c>
      <c r="BB15" s="17">
        <f t="shared" si="0"/>
        <v>224.35199999999998</v>
      </c>
      <c r="BC15" s="17">
        <f t="shared" si="1"/>
        <v>751.93799999999987</v>
      </c>
    </row>
    <row r="16" spans="1:55" ht="21.75" customHeight="1" x14ac:dyDescent="0.25">
      <c r="A16" s="16" t="s">
        <v>23</v>
      </c>
      <c r="B16" s="6">
        <v>15.716699999999999</v>
      </c>
      <c r="C16" s="6">
        <v>8.9814000000000007</v>
      </c>
      <c r="D16" s="6">
        <v>1.8786</v>
      </c>
      <c r="E16" s="6">
        <v>2.5990000000000002</v>
      </c>
      <c r="F16" s="6">
        <v>160.245</v>
      </c>
      <c r="G16" s="6">
        <v>1368.6268</v>
      </c>
      <c r="H16" s="6"/>
      <c r="I16" s="6"/>
      <c r="J16" s="6"/>
      <c r="K16" s="6"/>
      <c r="L16" s="6">
        <v>4.7481</v>
      </c>
      <c r="M16" s="6">
        <v>9.8585999999999991</v>
      </c>
      <c r="N16" s="6"/>
      <c r="O16" s="6"/>
      <c r="P16" s="6">
        <v>0.33760000000000001</v>
      </c>
      <c r="Q16" s="6">
        <v>0.73470000000000002</v>
      </c>
      <c r="R16" s="6">
        <v>2.4129999999999998</v>
      </c>
      <c r="S16" s="6">
        <v>6.0590000000000002</v>
      </c>
      <c r="T16" s="6"/>
      <c r="U16" s="6"/>
      <c r="V16" s="6">
        <v>0.01</v>
      </c>
      <c r="W16" s="6">
        <v>5.7000000000000002E-3</v>
      </c>
      <c r="X16" s="6">
        <v>0.83420000000000005</v>
      </c>
      <c r="Y16" s="6">
        <v>2.1343000000000001</v>
      </c>
      <c r="Z16" s="6">
        <v>12.458399999999999</v>
      </c>
      <c r="AA16" s="6">
        <v>20.927699999999998</v>
      </c>
      <c r="AB16" s="6"/>
      <c r="AC16" s="6"/>
      <c r="AD16" s="6"/>
      <c r="AE16" s="6"/>
      <c r="AF16" s="17">
        <f>' Citrus 2014-15(Final)'!J16</f>
        <v>13.7303</v>
      </c>
      <c r="AG16" s="17">
        <f>' Citrus 2014-15(Final)'!K16</f>
        <v>24.756100000000004</v>
      </c>
      <c r="AH16" s="6">
        <v>1.9798</v>
      </c>
      <c r="AI16" s="6">
        <v>5.0974000000000004</v>
      </c>
      <c r="AJ16" s="6">
        <v>13.667400000000001</v>
      </c>
      <c r="AK16" s="6">
        <v>65.411199999999994</v>
      </c>
      <c r="AL16" s="6">
        <v>0.26889999999999997</v>
      </c>
      <c r="AM16" s="6">
        <v>7.4000000000000003E-3</v>
      </c>
      <c r="AN16" s="6"/>
      <c r="AO16" s="6"/>
      <c r="AP16" s="6">
        <v>3.4860000000000002</v>
      </c>
      <c r="AQ16" s="6">
        <v>8.2156000000000002</v>
      </c>
      <c r="AR16" s="6">
        <v>1.0500000000000001E-2</v>
      </c>
      <c r="AS16" s="6">
        <v>9.4000000000000004E-3</v>
      </c>
      <c r="AT16" s="6"/>
      <c r="AU16" s="6"/>
      <c r="AV16" s="6">
        <v>0.1895</v>
      </c>
      <c r="AW16" s="6">
        <v>0.29559999999999997</v>
      </c>
      <c r="AX16" s="6">
        <v>86.098600000000005</v>
      </c>
      <c r="AY16" s="6">
        <v>213.8639</v>
      </c>
      <c r="AZ16" s="6">
        <f>5.651+3.882+8.8432</f>
        <v>18.376199999999997</v>
      </c>
      <c r="BA16" s="6">
        <f>16.292+11.599+13.9633</f>
        <v>41.854300000000002</v>
      </c>
      <c r="BB16" s="17">
        <f t="shared" si="0"/>
        <v>336.44880000000006</v>
      </c>
      <c r="BC16" s="17">
        <f t="shared" si="1"/>
        <v>1779.4380999999998</v>
      </c>
    </row>
    <row r="17" spans="1:55" ht="21.75" customHeight="1" x14ac:dyDescent="0.25">
      <c r="A17" s="16" t="s">
        <v>24</v>
      </c>
      <c r="B17" s="6"/>
      <c r="C17" s="6"/>
      <c r="D17" s="5">
        <v>7.8970000000000002</v>
      </c>
      <c r="E17" s="5">
        <v>33.82</v>
      </c>
      <c r="F17" s="6"/>
      <c r="G17" s="6"/>
      <c r="H17" s="5">
        <v>0.73</v>
      </c>
      <c r="I17" s="5">
        <v>1.79</v>
      </c>
      <c r="J17" s="6">
        <v>0.54300000000000004</v>
      </c>
      <c r="K17" s="6">
        <v>1.298</v>
      </c>
      <c r="L17" s="6">
        <v>1.1299999999999999</v>
      </c>
      <c r="M17" s="6">
        <v>1.25</v>
      </c>
      <c r="N17" s="6"/>
      <c r="O17" s="6"/>
      <c r="P17" s="6"/>
      <c r="Q17" s="6"/>
      <c r="R17" s="6">
        <v>8.7759999999999998</v>
      </c>
      <c r="S17" s="6">
        <v>96.352999999999994</v>
      </c>
      <c r="T17" s="6">
        <v>2.1819999999999999</v>
      </c>
      <c r="U17" s="6">
        <v>20.382000000000001</v>
      </c>
      <c r="V17" s="6"/>
      <c r="W17" s="6"/>
      <c r="X17" s="6">
        <v>5.3259999999999996</v>
      </c>
      <c r="Y17" s="6">
        <v>58.807000000000002</v>
      </c>
      <c r="Z17" s="6">
        <v>51.844000000000001</v>
      </c>
      <c r="AA17" s="6">
        <v>523.14</v>
      </c>
      <c r="AB17" s="6">
        <v>0.51900000000000002</v>
      </c>
      <c r="AC17" s="6">
        <v>5.2050000000000001</v>
      </c>
      <c r="AD17" s="6"/>
      <c r="AE17" s="6"/>
      <c r="AF17" s="17">
        <f>' Citrus 2014-15(Final)'!J17</f>
        <v>8.9380000000000006</v>
      </c>
      <c r="AG17" s="17">
        <f>' Citrus 2014-15(Final)'!K17</f>
        <v>88.545000000000002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>
        <v>0.52</v>
      </c>
      <c r="AS17" s="6">
        <v>2.21</v>
      </c>
      <c r="AT17" s="6"/>
      <c r="AU17" s="6"/>
      <c r="AV17" s="6"/>
      <c r="AW17" s="6"/>
      <c r="AX17" s="6"/>
      <c r="AY17" s="6"/>
      <c r="AZ17" s="6">
        <v>5.73</v>
      </c>
      <c r="BA17" s="6">
        <v>65.278000000000006</v>
      </c>
      <c r="BB17" s="17">
        <f t="shared" si="0"/>
        <v>94.135000000000005</v>
      </c>
      <c r="BC17" s="17">
        <f t="shared" si="1"/>
        <v>898.07799999999997</v>
      </c>
    </row>
    <row r="18" spans="1:55" ht="21.75" customHeight="1" x14ac:dyDescent="0.25">
      <c r="A18" s="16" t="s">
        <v>25</v>
      </c>
      <c r="B18" s="6"/>
      <c r="C18" s="6"/>
      <c r="D18" s="6">
        <v>0.14499999999999999</v>
      </c>
      <c r="E18" s="6">
        <v>1.0209999999999999</v>
      </c>
      <c r="F18" s="6"/>
      <c r="G18" s="6"/>
      <c r="H18" s="6"/>
      <c r="I18" s="6"/>
      <c r="J18" s="6">
        <v>102.886</v>
      </c>
      <c r="K18" s="6">
        <v>2593.326</v>
      </c>
      <c r="L18" s="6">
        <v>0.65900000000000003</v>
      </c>
      <c r="M18" s="6">
        <v>18.45</v>
      </c>
      <c r="N18" s="6">
        <v>1.738</v>
      </c>
      <c r="O18" s="6">
        <v>14.444000000000001</v>
      </c>
      <c r="P18" s="6">
        <v>21.760999999999999</v>
      </c>
      <c r="Q18" s="6">
        <v>420.80599999999998</v>
      </c>
      <c r="R18" s="6">
        <v>6.6319999999999997</v>
      </c>
      <c r="S18" s="6">
        <v>136.31200000000001</v>
      </c>
      <c r="T18" s="6">
        <v>5.4329999999999998</v>
      </c>
      <c r="U18" s="6">
        <v>201.227</v>
      </c>
      <c r="V18" s="6"/>
      <c r="W18" s="6"/>
      <c r="X18" s="6"/>
      <c r="Y18" s="6"/>
      <c r="Z18" s="6">
        <v>175.41</v>
      </c>
      <c r="AA18" s="6">
        <v>1646.5050000000001</v>
      </c>
      <c r="AB18" s="6">
        <v>7.5640000000000001</v>
      </c>
      <c r="AC18" s="6">
        <v>528.29700000000003</v>
      </c>
      <c r="AD18" s="6"/>
      <c r="AE18" s="6"/>
      <c r="AF18" s="17">
        <f>' Citrus 2014-15(Final)'!J18</f>
        <v>18.855</v>
      </c>
      <c r="AG18" s="17">
        <f>' Citrus 2014-15(Final)'!K18</f>
        <v>412.44399999999996</v>
      </c>
      <c r="AH18" s="6"/>
      <c r="AI18" s="6"/>
      <c r="AJ18" s="6"/>
      <c r="AK18" s="6"/>
      <c r="AL18" s="6"/>
      <c r="AM18" s="6"/>
      <c r="AN18" s="6">
        <v>2.472</v>
      </c>
      <c r="AO18" s="6">
        <v>156.31</v>
      </c>
      <c r="AP18" s="6"/>
      <c r="AQ18" s="6"/>
      <c r="AR18" s="6">
        <v>23.231000000000002</v>
      </c>
      <c r="AS18" s="6">
        <v>261.81599999999997</v>
      </c>
      <c r="AT18" s="6">
        <v>29.952999999999999</v>
      </c>
      <c r="AU18" s="6">
        <v>372.13</v>
      </c>
      <c r="AV18" s="6"/>
      <c r="AW18" s="6"/>
      <c r="AX18" s="6"/>
      <c r="AY18" s="6"/>
      <c r="AZ18" s="6">
        <f>0.002+1.266+2.165</f>
        <v>3.4329999999999998</v>
      </c>
      <c r="BA18" s="6">
        <f>0.012+14.351+22.438</f>
        <v>36.801000000000002</v>
      </c>
      <c r="BB18" s="17">
        <f t="shared" si="0"/>
        <v>400.17199999999997</v>
      </c>
      <c r="BC18" s="17">
        <f t="shared" si="1"/>
        <v>6799.889000000001</v>
      </c>
    </row>
    <row r="19" spans="1:55" ht="21.75" customHeight="1" x14ac:dyDescent="0.25">
      <c r="A19" s="16" t="s">
        <v>26</v>
      </c>
      <c r="B19" s="6">
        <v>3.0000000000000001E-3</v>
      </c>
      <c r="C19" s="6">
        <v>0</v>
      </c>
      <c r="D19" s="6">
        <v>2.5630000000000002</v>
      </c>
      <c r="E19" s="6">
        <v>0.16450000000000001</v>
      </c>
      <c r="F19" s="6"/>
      <c r="G19" s="6"/>
      <c r="H19" s="6"/>
      <c r="I19" s="6"/>
      <c r="J19" s="6">
        <v>83.982500000000002</v>
      </c>
      <c r="K19" s="6">
        <v>1270.5745999999999</v>
      </c>
      <c r="L19" s="6"/>
      <c r="M19" s="6"/>
      <c r="N19" s="6">
        <v>1.5E-3</v>
      </c>
      <c r="O19" s="6">
        <v>0.20108999999999999</v>
      </c>
      <c r="P19" s="6">
        <v>0.15</v>
      </c>
      <c r="Q19" s="6">
        <v>1.875</v>
      </c>
      <c r="R19" s="6">
        <v>0.2656</v>
      </c>
      <c r="S19" s="6">
        <v>1.8516840000000001</v>
      </c>
      <c r="T19" s="6">
        <v>38.835999999999999</v>
      </c>
      <c r="U19" s="134">
        <f>38.836*14.2</f>
        <v>551.47119999999995</v>
      </c>
      <c r="V19" s="6"/>
      <c r="W19" s="6"/>
      <c r="X19" s="6"/>
      <c r="Y19" s="6"/>
      <c r="Z19" s="6">
        <v>44.851999999999997</v>
      </c>
      <c r="AA19" s="6">
        <v>252.86199999999999</v>
      </c>
      <c r="AB19" s="6">
        <v>8.7936999999999994</v>
      </c>
      <c r="AC19" s="6">
        <v>54.999040000000001</v>
      </c>
      <c r="AD19" s="6">
        <v>7.0499999999999993E-2</v>
      </c>
      <c r="AE19" s="6">
        <v>6.7538200000000002</v>
      </c>
      <c r="AF19" s="17">
        <f>' Citrus 2014-15(Final)'!J19</f>
        <v>0.14949999999999999</v>
      </c>
      <c r="AG19" s="17">
        <f>' Citrus 2014-15(Final)'!K19</f>
        <v>3.4542999999999999</v>
      </c>
      <c r="AH19" s="6">
        <v>5.0000000000000001E-3</v>
      </c>
      <c r="AI19" s="6">
        <v>0.6</v>
      </c>
      <c r="AJ19" s="6">
        <v>0.01</v>
      </c>
      <c r="AK19" s="6">
        <v>3.0000000000000001E-3</v>
      </c>
      <c r="AL19" s="6"/>
      <c r="AM19" s="6"/>
      <c r="AN19" s="6">
        <v>10.7524</v>
      </c>
      <c r="AO19" s="6">
        <v>348.05500000000001</v>
      </c>
      <c r="AP19" s="6">
        <v>7.0000000000000001E-3</v>
      </c>
      <c r="AQ19" s="133">
        <v>1.5499999999999999E-3</v>
      </c>
      <c r="AR19" s="6">
        <v>1.4E-2</v>
      </c>
      <c r="AS19" s="6">
        <v>0.11573</v>
      </c>
      <c r="AT19" s="6">
        <v>0.34449999999999997</v>
      </c>
      <c r="AU19" s="6">
        <v>2.2029999999999998</v>
      </c>
      <c r="AV19" s="6">
        <v>0.2</v>
      </c>
      <c r="AW19" s="6">
        <v>4.3</v>
      </c>
      <c r="AX19" s="6"/>
      <c r="AY19" s="6"/>
      <c r="AZ19" s="6">
        <v>3.6576</v>
      </c>
      <c r="BA19" s="6">
        <v>54.635469999999998</v>
      </c>
      <c r="BB19" s="17">
        <f t="shared" si="0"/>
        <v>194.65780000000001</v>
      </c>
      <c r="BC19" s="17">
        <f t="shared" si="1"/>
        <v>2554.1209840000001</v>
      </c>
    </row>
    <row r="20" spans="1:55" ht="21.75" customHeight="1" x14ac:dyDescent="0.25">
      <c r="A20" s="16" t="s">
        <v>55</v>
      </c>
      <c r="B20" s="6"/>
      <c r="C20" s="6"/>
      <c r="D20" s="6"/>
      <c r="E20" s="6"/>
      <c r="F20" s="6"/>
      <c r="G20" s="6"/>
      <c r="H20" s="6"/>
      <c r="I20" s="6"/>
      <c r="J20" s="6">
        <v>0.35</v>
      </c>
      <c r="K20" s="6">
        <v>0.3</v>
      </c>
      <c r="L20" s="6"/>
      <c r="M20" s="6"/>
      <c r="N20" s="6"/>
      <c r="O20" s="6"/>
      <c r="P20" s="6"/>
      <c r="Q20" s="6"/>
      <c r="R20" s="6">
        <v>5.0000000000000001E-3</v>
      </c>
      <c r="S20" s="6">
        <v>2E-3</v>
      </c>
      <c r="T20" s="6"/>
      <c r="U20" s="6"/>
      <c r="V20" s="6"/>
      <c r="W20" s="6"/>
      <c r="X20" s="6"/>
      <c r="Y20" s="6"/>
      <c r="Z20" s="6">
        <v>6.0000000000000001E-3</v>
      </c>
      <c r="AA20" s="6"/>
      <c r="AB20" s="6">
        <v>1.7000000000000001E-2</v>
      </c>
      <c r="AC20" s="6">
        <v>3.7999999999999999E-2</v>
      </c>
      <c r="AD20" s="6"/>
      <c r="AE20" s="6"/>
      <c r="AF20" s="17">
        <f>' Citrus 2014-15(Final)'!J20</f>
        <v>2E-3</v>
      </c>
      <c r="AG20" s="17">
        <f>' Citrus 2014-15(Final)'!K20</f>
        <v>1E-3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>
        <v>2E-3</v>
      </c>
      <c r="AS20" s="6">
        <v>2E-3</v>
      </c>
      <c r="AT20" s="6">
        <v>6.0000000000000001E-3</v>
      </c>
      <c r="AU20" s="6">
        <v>8.0000000000000002E-3</v>
      </c>
      <c r="AV20" s="6"/>
      <c r="AW20" s="6"/>
      <c r="AX20" s="6"/>
      <c r="AY20" s="6"/>
      <c r="AZ20" s="6">
        <v>0.05</v>
      </c>
      <c r="BA20" s="6">
        <v>8.1000000000000003E-2</v>
      </c>
      <c r="BB20" s="17">
        <f t="shared" si="0"/>
        <v>0.438</v>
      </c>
      <c r="BC20" s="17">
        <f t="shared" si="1"/>
        <v>0.432</v>
      </c>
    </row>
    <row r="21" spans="1:55" ht="21.75" customHeight="1" x14ac:dyDescent="0.25">
      <c r="A21" s="16" t="s">
        <v>27</v>
      </c>
      <c r="B21" s="6"/>
      <c r="C21" s="6"/>
      <c r="D21" s="6">
        <v>13.975</v>
      </c>
      <c r="E21" s="6">
        <v>373</v>
      </c>
      <c r="F21" s="6"/>
      <c r="G21" s="6"/>
      <c r="H21" s="6"/>
      <c r="I21" s="6"/>
      <c r="J21" s="6">
        <v>27.795000000000002</v>
      </c>
      <c r="K21" s="6">
        <v>1836</v>
      </c>
      <c r="L21" s="6">
        <v>4.2300000000000004</v>
      </c>
      <c r="M21" s="6">
        <v>46</v>
      </c>
      <c r="N21" s="6">
        <v>2.7349999999999999</v>
      </c>
      <c r="O21" s="6">
        <v>37</v>
      </c>
      <c r="P21" s="6">
        <v>0.16</v>
      </c>
      <c r="Q21" s="6">
        <v>3</v>
      </c>
      <c r="R21" s="6">
        <v>25.428999999999998</v>
      </c>
      <c r="S21" s="6">
        <v>952</v>
      </c>
      <c r="T21" s="6">
        <v>2.8490000000000002</v>
      </c>
      <c r="U21" s="6">
        <v>162</v>
      </c>
      <c r="V21" s="6"/>
      <c r="W21" s="6"/>
      <c r="X21" s="6"/>
      <c r="Y21" s="6"/>
      <c r="Z21" s="6">
        <v>26.707000000000001</v>
      </c>
      <c r="AA21" s="6">
        <v>396</v>
      </c>
      <c r="AB21" s="6">
        <v>13.821</v>
      </c>
      <c r="AC21" s="6">
        <v>455</v>
      </c>
      <c r="AD21" s="6"/>
      <c r="AE21" s="6"/>
      <c r="AF21" s="138">
        <f>' Citrus 2014-15(Final)'!J21</f>
        <v>79.963999999999999</v>
      </c>
      <c r="AG21" s="138">
        <f>' Citrus 2014-15(Final)'!K21</f>
        <v>1386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>
        <v>2.6150000000000002</v>
      </c>
      <c r="AS21" s="6">
        <v>28</v>
      </c>
      <c r="AT21" s="6"/>
      <c r="AU21" s="6"/>
      <c r="AV21" s="6"/>
      <c r="AW21" s="6"/>
      <c r="AX21" s="6"/>
      <c r="AY21" s="6"/>
      <c r="AZ21" s="6">
        <v>19.675999999999998</v>
      </c>
      <c r="BA21" s="6">
        <v>445</v>
      </c>
      <c r="BB21" s="17">
        <f t="shared" si="0"/>
        <v>219.95599999999999</v>
      </c>
      <c r="BC21" s="17">
        <f t="shared" si="1"/>
        <v>6119</v>
      </c>
    </row>
    <row r="22" spans="1:55" ht="21.75" customHeight="1" x14ac:dyDescent="0.25">
      <c r="A22" s="16" t="s">
        <v>28</v>
      </c>
      <c r="B22" s="19"/>
      <c r="C22" s="19"/>
      <c r="D22" s="19">
        <v>0.35299999999999998</v>
      </c>
      <c r="E22" s="19">
        <v>3.4420000000000002</v>
      </c>
      <c r="F22" s="19"/>
      <c r="G22" s="19"/>
      <c r="H22" s="19"/>
      <c r="I22" s="19"/>
      <c r="J22" s="19">
        <v>74.034000000000006</v>
      </c>
      <c r="K22" s="19">
        <v>4030.5830000000001</v>
      </c>
      <c r="L22" s="19">
        <v>5.6000000000000001E-2</v>
      </c>
      <c r="M22" s="19">
        <v>0.20399999999999999</v>
      </c>
      <c r="N22" s="19">
        <v>8.6549999999999994</v>
      </c>
      <c r="O22" s="19">
        <v>59.325000000000003</v>
      </c>
      <c r="P22" s="19">
        <v>93.262</v>
      </c>
      <c r="Q22" s="19">
        <v>2292.5340000000001</v>
      </c>
      <c r="R22" s="19">
        <v>16.379000000000001</v>
      </c>
      <c r="S22" s="19">
        <v>277.36399999999998</v>
      </c>
      <c r="T22" s="19"/>
      <c r="U22" s="19"/>
      <c r="V22" s="19"/>
      <c r="W22" s="19"/>
      <c r="X22" s="19"/>
      <c r="Y22" s="19"/>
      <c r="Z22" s="19">
        <v>157.76499999999999</v>
      </c>
      <c r="AA22" s="19">
        <v>758.83900000000006</v>
      </c>
      <c r="AB22" s="19">
        <v>7.6360000000000001</v>
      </c>
      <c r="AC22" s="19">
        <v>542.00900000000001</v>
      </c>
      <c r="AD22" s="19"/>
      <c r="AE22" s="19"/>
      <c r="AF22" s="17">
        <f>' Citrus 2014-15(Final)'!J22</f>
        <v>187.41399999999999</v>
      </c>
      <c r="AG22" s="17">
        <f>' Citrus 2014-15(Final)'!K22</f>
        <v>1454.2710000000002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>
        <v>128.64500000000001</v>
      </c>
      <c r="AS22" s="19">
        <v>1197.713</v>
      </c>
      <c r="AT22" s="19">
        <v>17.597999999999999</v>
      </c>
      <c r="AU22" s="19">
        <v>179.46199999999999</v>
      </c>
      <c r="AV22" s="19"/>
      <c r="AW22" s="19"/>
      <c r="AX22" s="19"/>
      <c r="AY22" s="19"/>
      <c r="AZ22" s="19">
        <v>50.484999999999999</v>
      </c>
      <c r="BA22" s="19">
        <v>293.779</v>
      </c>
      <c r="BB22" s="17">
        <f t="shared" si="0"/>
        <v>742.28200000000004</v>
      </c>
      <c r="BC22" s="17">
        <f t="shared" si="1"/>
        <v>11089.525</v>
      </c>
    </row>
    <row r="23" spans="1:55" ht="21.75" customHeight="1" x14ac:dyDescent="0.25">
      <c r="A23" s="63" t="s">
        <v>29</v>
      </c>
      <c r="B23" s="6"/>
      <c r="C23" s="6"/>
      <c r="D23" s="6"/>
      <c r="E23" s="6"/>
      <c r="F23" s="6"/>
      <c r="G23" s="6"/>
      <c r="H23" s="6"/>
      <c r="I23" s="6"/>
      <c r="J23" s="6">
        <v>6.9930000000000003</v>
      </c>
      <c r="K23" s="6">
        <v>94.221999999999994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>
        <v>9.2739999999999991</v>
      </c>
      <c r="AE23" s="6">
        <v>99.156999999999996</v>
      </c>
      <c r="AF23" s="17">
        <f>' Citrus 2014-15(Final)'!J23</f>
        <v>11.343999999999999</v>
      </c>
      <c r="AG23" s="17">
        <f>' Citrus 2014-15(Final)'!K23</f>
        <v>95.99799999999999</v>
      </c>
      <c r="AH23" s="6"/>
      <c r="AI23" s="6"/>
      <c r="AJ23" s="6"/>
      <c r="AK23" s="6"/>
      <c r="AL23" s="6"/>
      <c r="AM23" s="6"/>
      <c r="AN23" s="6">
        <v>14.271000000000001</v>
      </c>
      <c r="AO23" s="6">
        <v>136.74600000000001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>
        <v>13.74</v>
      </c>
      <c r="BA23" s="6">
        <v>95.45</v>
      </c>
      <c r="BB23" s="17">
        <f t="shared" si="0"/>
        <v>55.622</v>
      </c>
      <c r="BC23" s="17">
        <f t="shared" si="1"/>
        <v>521.57299999999998</v>
      </c>
    </row>
    <row r="24" spans="1:55" ht="21.75" customHeight="1" x14ac:dyDescent="0.25">
      <c r="A24" s="16" t="s">
        <v>30</v>
      </c>
      <c r="B24" s="6"/>
      <c r="C24" s="6"/>
      <c r="D24" s="6"/>
      <c r="E24" s="6"/>
      <c r="F24" s="6"/>
      <c r="G24" s="6"/>
      <c r="H24" s="6"/>
      <c r="I24" s="6"/>
      <c r="J24" s="6">
        <v>7.0590000000000002</v>
      </c>
      <c r="K24" s="6">
        <v>88.701999999999998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0.82299999999999995</v>
      </c>
      <c r="AC24" s="6">
        <v>6.5129999999999999</v>
      </c>
      <c r="AD24" s="6"/>
      <c r="AE24" s="6"/>
      <c r="AF24" s="17">
        <f>' Citrus 2014-15(Final)'!J24</f>
        <v>12.043999999999999</v>
      </c>
      <c r="AG24" s="17">
        <f>' Citrus 2014-15(Final)'!K24</f>
        <v>52.850999999999999</v>
      </c>
      <c r="AH24" s="6"/>
      <c r="AI24" s="6"/>
      <c r="AJ24" s="6"/>
      <c r="AK24" s="6"/>
      <c r="AL24" s="6"/>
      <c r="AM24" s="6"/>
      <c r="AN24" s="6">
        <v>11.592000000000001</v>
      </c>
      <c r="AO24" s="6">
        <v>124.602</v>
      </c>
      <c r="AP24" s="6"/>
      <c r="AQ24" s="6"/>
      <c r="AR24" s="6"/>
      <c r="AS24" s="6"/>
      <c r="AT24" s="6"/>
      <c r="AU24" s="6"/>
      <c r="AV24" s="6">
        <v>0.114</v>
      </c>
      <c r="AW24" s="6">
        <v>0.82</v>
      </c>
      <c r="AX24" s="6"/>
      <c r="AY24" s="6"/>
      <c r="AZ24" s="20">
        <v>4.7</v>
      </c>
      <c r="BA24" s="6">
        <v>103.758</v>
      </c>
      <c r="BB24" s="17">
        <f t="shared" si="0"/>
        <v>36.332000000000001</v>
      </c>
      <c r="BC24" s="17">
        <f t="shared" si="1"/>
        <v>377.24599999999998</v>
      </c>
    </row>
    <row r="25" spans="1:55" ht="21.75" customHeight="1" x14ac:dyDescent="0.25">
      <c r="A25" s="16" t="s">
        <v>31</v>
      </c>
      <c r="B25" s="6"/>
      <c r="C25" s="6"/>
      <c r="D25" s="6">
        <v>0.3</v>
      </c>
      <c r="E25" s="6">
        <v>1.32</v>
      </c>
      <c r="F25" s="6"/>
      <c r="G25" s="6"/>
      <c r="H25" s="6"/>
      <c r="I25" s="6"/>
      <c r="J25" s="6">
        <v>10.87</v>
      </c>
      <c r="K25" s="6">
        <v>141</v>
      </c>
      <c r="L25" s="6"/>
      <c r="M25" s="6"/>
      <c r="N25" s="6">
        <v>3.0000000000000001E-3</v>
      </c>
      <c r="O25" s="6">
        <v>0.01</v>
      </c>
      <c r="P25" s="6">
        <v>2.4500000000000002</v>
      </c>
      <c r="Q25" s="6">
        <v>22.55</v>
      </c>
      <c r="R25" s="6">
        <v>0.42</v>
      </c>
      <c r="S25" s="6">
        <v>2.5499999999999998</v>
      </c>
      <c r="T25" s="6">
        <v>0.05</v>
      </c>
      <c r="U25" s="6">
        <v>2.4900000000000002</v>
      </c>
      <c r="V25" s="6">
        <v>0.3</v>
      </c>
      <c r="W25" s="6">
        <v>1.03</v>
      </c>
      <c r="X25" s="6">
        <v>0.45</v>
      </c>
      <c r="Y25" s="6">
        <v>1.85</v>
      </c>
      <c r="Z25" s="6">
        <v>0.89</v>
      </c>
      <c r="AA25" s="6">
        <v>4.18</v>
      </c>
      <c r="AB25" s="6">
        <v>1.25</v>
      </c>
      <c r="AC25" s="6">
        <v>26.5</v>
      </c>
      <c r="AD25" s="6">
        <v>0.98</v>
      </c>
      <c r="AE25" s="6">
        <v>2.11</v>
      </c>
      <c r="AF25" s="17">
        <f>' Citrus 2014-15(Final)'!J25</f>
        <v>26.029999999999998</v>
      </c>
      <c r="AG25" s="17">
        <f>' Citrus 2014-15(Final)'!K25</f>
        <v>78.88</v>
      </c>
      <c r="AH25" s="6">
        <v>0.12</v>
      </c>
      <c r="AI25" s="6">
        <v>0.62</v>
      </c>
      <c r="AJ25" s="6">
        <v>1E-3</v>
      </c>
      <c r="AK25" s="6">
        <v>6.0000000000000001E-3</v>
      </c>
      <c r="AL25" s="6"/>
      <c r="AM25" s="6"/>
      <c r="AN25" s="6">
        <v>4.867</v>
      </c>
      <c r="AO25" s="6">
        <v>32.869999999999997</v>
      </c>
      <c r="AP25" s="6">
        <v>0.14599999999999999</v>
      </c>
      <c r="AQ25" s="6">
        <v>1.63</v>
      </c>
      <c r="AR25" s="6">
        <v>1.7000000000000001E-2</v>
      </c>
      <c r="AS25" s="6">
        <v>0.03</v>
      </c>
      <c r="AT25" s="6">
        <v>4.0000000000000001E-3</v>
      </c>
      <c r="AU25" s="6">
        <v>0.02</v>
      </c>
      <c r="AV25" s="6">
        <v>0.13</v>
      </c>
      <c r="AW25" s="6">
        <v>1.08</v>
      </c>
      <c r="AX25" s="6"/>
      <c r="AY25" s="6"/>
      <c r="AZ25" s="6">
        <v>10.99</v>
      </c>
      <c r="BA25" s="6">
        <v>30.186</v>
      </c>
      <c r="BB25" s="17">
        <f t="shared" si="0"/>
        <v>60.268000000000001</v>
      </c>
      <c r="BC25" s="17">
        <f t="shared" si="1"/>
        <v>350.91199999999992</v>
      </c>
    </row>
    <row r="26" spans="1:55" ht="21.75" customHeight="1" x14ac:dyDescent="0.25">
      <c r="A26" s="18" t="s">
        <v>32</v>
      </c>
      <c r="B26" s="6"/>
      <c r="C26" s="6"/>
      <c r="D26" s="6">
        <v>0.26500000000000001</v>
      </c>
      <c r="E26" s="6">
        <v>2.91</v>
      </c>
      <c r="F26" s="6">
        <v>0.21</v>
      </c>
      <c r="G26" s="6">
        <v>1.89</v>
      </c>
      <c r="H26" s="6"/>
      <c r="I26" s="6"/>
      <c r="J26" s="6">
        <v>7.32</v>
      </c>
      <c r="K26" s="6">
        <v>109.8</v>
      </c>
      <c r="L26" s="6">
        <v>3.2000000000000001E-2</v>
      </c>
      <c r="M26" s="6">
        <v>0.245</v>
      </c>
      <c r="N26" s="6"/>
      <c r="O26" s="6"/>
      <c r="P26" s="6">
        <v>0.19</v>
      </c>
      <c r="Q26" s="6">
        <v>1.1399999999999999</v>
      </c>
      <c r="R26" s="6">
        <v>0.52</v>
      </c>
      <c r="S26" s="6">
        <v>4.16</v>
      </c>
      <c r="T26" s="6">
        <v>0.16</v>
      </c>
      <c r="U26" s="6">
        <v>1.92</v>
      </c>
      <c r="V26" s="6">
        <v>0.2</v>
      </c>
      <c r="W26" s="6">
        <v>2.4</v>
      </c>
      <c r="X26" s="6">
        <v>0.46</v>
      </c>
      <c r="Y26" s="6">
        <v>3.22</v>
      </c>
      <c r="Z26" s="6">
        <v>0.51</v>
      </c>
      <c r="AA26" s="6">
        <v>3.57</v>
      </c>
      <c r="AB26" s="6">
        <v>1.36</v>
      </c>
      <c r="AC26" s="6">
        <v>16.32</v>
      </c>
      <c r="AD26" s="6">
        <v>8.5</v>
      </c>
      <c r="AE26" s="6">
        <v>21.25</v>
      </c>
      <c r="AF26" s="17">
        <f>' Citrus 2014-15(Final)'!J26</f>
        <v>7.9099999999999993</v>
      </c>
      <c r="AG26" s="17">
        <f>' Citrus 2014-15(Final)'!K26</f>
        <v>69.28</v>
      </c>
      <c r="AH26" s="6">
        <v>0.34</v>
      </c>
      <c r="AI26" s="6">
        <v>2.72</v>
      </c>
      <c r="AJ26" s="6">
        <v>0.31</v>
      </c>
      <c r="AK26" s="6">
        <v>3.1</v>
      </c>
      <c r="AL26" s="6"/>
      <c r="AM26" s="6"/>
      <c r="AN26" s="6">
        <v>9.5</v>
      </c>
      <c r="AO26" s="6">
        <v>142.5</v>
      </c>
      <c r="AP26" s="6">
        <v>0.46</v>
      </c>
      <c r="AQ26" s="6">
        <v>3.22</v>
      </c>
      <c r="AR26" s="6">
        <v>0.12</v>
      </c>
      <c r="AS26" s="6">
        <v>0.73</v>
      </c>
      <c r="AT26" s="6"/>
      <c r="AU26" s="6"/>
      <c r="AV26" s="6"/>
      <c r="AW26" s="6"/>
      <c r="AX26" s="6"/>
      <c r="AY26" s="6"/>
      <c r="AZ26" s="6">
        <v>2.19</v>
      </c>
      <c r="BA26" s="6">
        <v>20.62</v>
      </c>
      <c r="BB26" s="17">
        <f t="shared" si="0"/>
        <v>40.556999999999988</v>
      </c>
      <c r="BC26" s="17">
        <f t="shared" si="1"/>
        <v>410.995</v>
      </c>
    </row>
    <row r="27" spans="1:55" ht="21.75" customHeight="1" x14ac:dyDescent="0.25">
      <c r="A27" s="16" t="s">
        <v>175</v>
      </c>
      <c r="B27" s="6"/>
      <c r="C27" s="6"/>
      <c r="D27" s="6">
        <v>2.02</v>
      </c>
      <c r="E27" s="6">
        <v>0.71</v>
      </c>
      <c r="F27" s="6"/>
      <c r="G27" s="6"/>
      <c r="H27" s="6">
        <v>8.74</v>
      </c>
      <c r="I27" s="6">
        <v>48.54</v>
      </c>
      <c r="J27" s="6">
        <v>24.76</v>
      </c>
      <c r="K27" s="6">
        <v>469.25</v>
      </c>
      <c r="L27" s="6">
        <v>7.58</v>
      </c>
      <c r="M27" s="6">
        <v>39.450000000000003</v>
      </c>
      <c r="N27" s="6"/>
      <c r="O27" s="6"/>
      <c r="P27" s="6"/>
      <c r="Q27" s="6"/>
      <c r="R27" s="6">
        <v>14.2</v>
      </c>
      <c r="S27" s="6">
        <v>103.74</v>
      </c>
      <c r="T27" s="6">
        <v>12.4</v>
      </c>
      <c r="U27" s="6">
        <v>232.75</v>
      </c>
      <c r="V27" s="6"/>
      <c r="W27" s="6"/>
      <c r="X27" s="6">
        <v>4.46</v>
      </c>
      <c r="Y27" s="6">
        <v>20.3</v>
      </c>
      <c r="Z27" s="6">
        <v>197.74</v>
      </c>
      <c r="AA27" s="6">
        <v>769.93</v>
      </c>
      <c r="AB27" s="6">
        <v>3.0129999999999999</v>
      </c>
      <c r="AC27" s="6">
        <v>69.88</v>
      </c>
      <c r="AD27" s="6"/>
      <c r="AE27" s="6"/>
      <c r="AF27" s="17">
        <f>' Citrus 2014-15(Final)'!J27</f>
        <v>27.544</v>
      </c>
      <c r="AG27" s="17">
        <f>' Citrus 2014-15(Final)'!K27</f>
        <v>268.37</v>
      </c>
      <c r="AH27" s="6"/>
      <c r="AI27" s="6"/>
      <c r="AJ27" s="6"/>
      <c r="AK27" s="6"/>
      <c r="AL27" s="6"/>
      <c r="AM27" s="6"/>
      <c r="AN27" s="6">
        <v>0.93</v>
      </c>
      <c r="AO27" s="6">
        <v>11.6</v>
      </c>
      <c r="AP27" s="6"/>
      <c r="AQ27" s="6"/>
      <c r="AR27" s="6">
        <v>0.23</v>
      </c>
      <c r="AS27" s="6">
        <v>0.88</v>
      </c>
      <c r="AT27" s="6">
        <v>3.35</v>
      </c>
      <c r="AU27" s="6">
        <v>15.65</v>
      </c>
      <c r="AV27" s="6"/>
      <c r="AW27" s="6"/>
      <c r="AX27" s="6"/>
      <c r="AY27" s="6"/>
      <c r="AZ27" s="6">
        <v>20.32</v>
      </c>
      <c r="BA27" s="6">
        <v>105.44</v>
      </c>
      <c r="BB27" s="17">
        <f t="shared" si="0"/>
        <v>327.28699999999998</v>
      </c>
      <c r="BC27" s="17">
        <f t="shared" si="1"/>
        <v>2156.4900000000002</v>
      </c>
    </row>
    <row r="28" spans="1:55" ht="21.75" customHeight="1" x14ac:dyDescent="0.25">
      <c r="A28" s="18" t="s">
        <v>165</v>
      </c>
      <c r="B28" s="6"/>
      <c r="C28" s="6"/>
      <c r="D28" s="6"/>
      <c r="E28" s="6"/>
      <c r="F28" s="6"/>
      <c r="G28" s="6"/>
      <c r="H28" s="6"/>
      <c r="I28" s="6"/>
      <c r="J28" s="6">
        <v>0.34799999999999998</v>
      </c>
      <c r="K28" s="6">
        <v>10.122999999999999</v>
      </c>
      <c r="L28" s="6"/>
      <c r="M28" s="6"/>
      <c r="N28" s="6"/>
      <c r="O28" s="6"/>
      <c r="P28" s="6"/>
      <c r="Q28" s="6"/>
      <c r="R28" s="6">
        <v>6.8000000000000005E-2</v>
      </c>
      <c r="S28" s="6">
        <v>0.97499999999999998</v>
      </c>
      <c r="T28" s="6">
        <v>6.0000000000000001E-3</v>
      </c>
      <c r="U28" s="6">
        <v>6.6000000000000003E-2</v>
      </c>
      <c r="V28" s="6"/>
      <c r="W28" s="6"/>
      <c r="X28" s="6"/>
      <c r="Y28" s="6"/>
      <c r="Z28" s="6">
        <v>0.17</v>
      </c>
      <c r="AA28" s="6">
        <v>3.57</v>
      </c>
      <c r="AB28" s="6"/>
      <c r="AC28" s="6"/>
      <c r="AD28" s="6"/>
      <c r="AE28" s="6"/>
      <c r="AF28" s="17">
        <f>' Citrus 2014-15(Final)'!J28</f>
        <v>1.4999999999999999E-2</v>
      </c>
      <c r="AG28" s="17">
        <f>' Citrus 2014-15(Final)'!K28</f>
        <v>0.12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>
        <v>0.05</v>
      </c>
      <c r="AU28" s="6">
        <v>0.30199999999999999</v>
      </c>
      <c r="AV28" s="6"/>
      <c r="AW28" s="6"/>
      <c r="AX28" s="6"/>
      <c r="AY28" s="6"/>
      <c r="AZ28" s="6">
        <v>2.1999999999999999E-2</v>
      </c>
      <c r="BA28" s="6">
        <v>0.75</v>
      </c>
      <c r="BB28" s="17">
        <f t="shared" si="0"/>
        <v>0.67900000000000005</v>
      </c>
      <c r="BC28" s="17">
        <f t="shared" si="1"/>
        <v>15.905999999999999</v>
      </c>
    </row>
    <row r="29" spans="1:55" ht="21.75" customHeight="1" x14ac:dyDescent="0.25">
      <c r="A29" s="16" t="s">
        <v>33</v>
      </c>
      <c r="B29" s="6"/>
      <c r="C29" s="6"/>
      <c r="D29" s="6">
        <v>0.442</v>
      </c>
      <c r="E29" s="6">
        <v>6.0590000000000002</v>
      </c>
      <c r="F29" s="6"/>
      <c r="G29" s="6"/>
      <c r="H29" s="6"/>
      <c r="I29" s="6"/>
      <c r="J29" s="6">
        <v>0.13100000000000001</v>
      </c>
      <c r="K29" s="6">
        <v>7.5129999999999999</v>
      </c>
      <c r="L29" s="6">
        <v>1.7110000000000001</v>
      </c>
      <c r="M29" s="6">
        <v>28.584</v>
      </c>
      <c r="N29" s="6"/>
      <c r="O29" s="6"/>
      <c r="P29" s="6">
        <v>0.32300000000000001</v>
      </c>
      <c r="Q29" s="6">
        <v>9.2070000000000007</v>
      </c>
      <c r="R29" s="6">
        <v>8.1069999999999993</v>
      </c>
      <c r="S29" s="6">
        <v>181.97</v>
      </c>
      <c r="T29" s="6"/>
      <c r="U29" s="6"/>
      <c r="V29" s="6"/>
      <c r="W29" s="6"/>
      <c r="X29" s="6">
        <v>1.988</v>
      </c>
      <c r="Y29" s="6">
        <v>32.107999999999997</v>
      </c>
      <c r="Z29" s="6">
        <v>6.7519999999999998</v>
      </c>
      <c r="AA29" s="6">
        <v>113.435</v>
      </c>
      <c r="AB29" s="6"/>
      <c r="AC29" s="6"/>
      <c r="AD29" s="6"/>
      <c r="AE29" s="6"/>
      <c r="AF29" s="17">
        <f>' Citrus 2014-15(Final)'!J29</f>
        <v>51.582999999999998</v>
      </c>
      <c r="AG29" s="17">
        <f>' Citrus 2014-15(Final)'!K29</f>
        <v>1136.1559999999999</v>
      </c>
      <c r="AH29" s="6">
        <v>1.7230000000000001</v>
      </c>
      <c r="AI29" s="6">
        <v>30.524999999999999</v>
      </c>
      <c r="AJ29" s="6">
        <v>2.98</v>
      </c>
      <c r="AK29" s="6">
        <v>68.286000000000001</v>
      </c>
      <c r="AL29" s="6"/>
      <c r="AM29" s="6"/>
      <c r="AN29" s="6"/>
      <c r="AO29" s="6"/>
      <c r="AP29" s="6">
        <v>0.23100000000000001</v>
      </c>
      <c r="AQ29" s="6">
        <v>4.1109999999999998</v>
      </c>
      <c r="AR29" s="6"/>
      <c r="AS29" s="6"/>
      <c r="AT29" s="6"/>
      <c r="AU29" s="6"/>
      <c r="AV29" s="6"/>
      <c r="AW29" s="6"/>
      <c r="AX29" s="6"/>
      <c r="AY29" s="6"/>
      <c r="AZ29" s="6">
        <v>1.78</v>
      </c>
      <c r="BA29" s="6">
        <v>26.687000000000001</v>
      </c>
      <c r="BB29" s="17">
        <f t="shared" si="0"/>
        <v>77.750999999999991</v>
      </c>
      <c r="BC29" s="17">
        <f t="shared" si="1"/>
        <v>1644.6410000000001</v>
      </c>
    </row>
    <row r="30" spans="1:55" ht="21.75" customHeight="1" x14ac:dyDescent="0.25">
      <c r="A30" s="16" t="s">
        <v>187</v>
      </c>
      <c r="B30" s="6"/>
      <c r="C30" s="6"/>
      <c r="D30" s="6">
        <v>1.609</v>
      </c>
      <c r="E30" s="6">
        <v>12.888</v>
      </c>
      <c r="F30" s="6"/>
      <c r="G30" s="6"/>
      <c r="H30" s="6"/>
      <c r="I30" s="6"/>
      <c r="J30" s="6">
        <v>2.9000000000000001E-2</v>
      </c>
      <c r="K30" s="6">
        <v>0.246</v>
      </c>
      <c r="L30" s="6">
        <v>0.85499999999999998</v>
      </c>
      <c r="M30" s="6">
        <v>7.0019999999999998</v>
      </c>
      <c r="N30" s="6">
        <v>0.53300000000000003</v>
      </c>
      <c r="O30" s="6">
        <v>4.5549999999999997</v>
      </c>
      <c r="P30" s="6">
        <v>1E-3</v>
      </c>
      <c r="Q30" s="6">
        <v>0.01</v>
      </c>
      <c r="R30" s="6">
        <v>2.4580000000000002</v>
      </c>
      <c r="S30" s="6">
        <v>23.077999999999999</v>
      </c>
      <c r="T30" s="6"/>
      <c r="U30" s="6"/>
      <c r="V30" s="6"/>
      <c r="W30" s="6"/>
      <c r="X30" s="6"/>
      <c r="Y30" s="6"/>
      <c r="Z30" s="6">
        <v>5.4539999999999997</v>
      </c>
      <c r="AA30" s="6">
        <v>78.674999999999997</v>
      </c>
      <c r="AB30" s="6">
        <v>0.46300000000000002</v>
      </c>
      <c r="AC30" s="6">
        <v>5.6779999999999999</v>
      </c>
      <c r="AD30" s="6"/>
      <c r="AE30" s="6"/>
      <c r="AF30" s="17">
        <f>' Citrus 2014-15(Final)'!J30</f>
        <v>13.05</v>
      </c>
      <c r="AG30" s="17">
        <f>' Citrus 2014-15(Final)'!K30</f>
        <v>325.72899999999998</v>
      </c>
      <c r="AH30" s="6"/>
      <c r="AI30" s="6"/>
      <c r="AJ30" s="6"/>
      <c r="AK30" s="6"/>
      <c r="AL30" s="6"/>
      <c r="AM30" s="6"/>
      <c r="AN30" s="6">
        <v>2.0680000000000001</v>
      </c>
      <c r="AO30" s="6">
        <v>7.843</v>
      </c>
      <c r="AP30" s="6"/>
      <c r="AQ30" s="6"/>
      <c r="AR30" s="6"/>
      <c r="AS30" s="6"/>
      <c r="AT30" s="6">
        <v>0.01</v>
      </c>
      <c r="AU30" s="6">
        <v>4.9000000000000002E-2</v>
      </c>
      <c r="AV30" s="6"/>
      <c r="AW30" s="6"/>
      <c r="AX30" s="6"/>
      <c r="AY30" s="6"/>
      <c r="AZ30" s="6">
        <v>12.907999999999999</v>
      </c>
      <c r="BA30" s="6">
        <v>269.84800000000001</v>
      </c>
      <c r="BB30" s="17">
        <f t="shared" si="0"/>
        <v>39.438000000000002</v>
      </c>
      <c r="BC30" s="17">
        <f t="shared" si="1"/>
        <v>735.601</v>
      </c>
    </row>
    <row r="31" spans="1:55" ht="21.75" customHeight="1" x14ac:dyDescent="0.25">
      <c r="A31" s="16" t="s">
        <v>35</v>
      </c>
      <c r="B31" s="6"/>
      <c r="C31" s="6"/>
      <c r="D31" s="6"/>
      <c r="E31" s="6"/>
      <c r="F31" s="6"/>
      <c r="G31" s="6"/>
      <c r="H31" s="6"/>
      <c r="I31" s="6"/>
      <c r="J31" s="6">
        <v>1.6999999999999999E-3</v>
      </c>
      <c r="K31" s="6">
        <v>4.1000000000000003E-3</v>
      </c>
      <c r="L31" s="6"/>
      <c r="M31" s="6"/>
      <c r="N31" s="6"/>
      <c r="O31" s="6"/>
      <c r="P31" s="6"/>
      <c r="Q31" s="6"/>
      <c r="R31" s="6">
        <v>1.1000000000000001E-3</v>
      </c>
      <c r="S31" s="6"/>
      <c r="T31" s="6"/>
      <c r="U31" s="6"/>
      <c r="V31" s="6">
        <v>1E-4</v>
      </c>
      <c r="W31" s="6">
        <v>8.0000000000000004E-4</v>
      </c>
      <c r="X31" s="6">
        <v>4.0000000000000002E-4</v>
      </c>
      <c r="Y31" s="6"/>
      <c r="Z31" s="6"/>
      <c r="AA31" s="6"/>
      <c r="AB31" s="6">
        <v>6.9999999999999999E-4</v>
      </c>
      <c r="AC31" s="6">
        <v>5.9999999999999995E-4</v>
      </c>
      <c r="AD31" s="6">
        <v>5.9999999999999995E-4</v>
      </c>
      <c r="AE31" s="6"/>
      <c r="AF31" s="17">
        <f>' Citrus 2014-15(Final)'!J31</f>
        <v>1.15E-2</v>
      </c>
      <c r="AG31" s="17">
        <f>' Citrus 2014-15(Final)'!K31</f>
        <v>1.89E-2</v>
      </c>
      <c r="AH31" s="6">
        <v>2.0000000000000001E-4</v>
      </c>
      <c r="AI31" s="6"/>
      <c r="AJ31" s="6">
        <v>1.1999999999999999E-3</v>
      </c>
      <c r="AK31" s="6">
        <v>1.6000000000000001E-3</v>
      </c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>
        <v>6.1000000000000004E-3</v>
      </c>
      <c r="BA31" s="6">
        <v>7.4000000000000003E-3</v>
      </c>
      <c r="BB31" s="17">
        <f t="shared" si="0"/>
        <v>2.3599999999999999E-2</v>
      </c>
      <c r="BC31" s="17">
        <f t="shared" si="1"/>
        <v>3.3399999999999999E-2</v>
      </c>
    </row>
    <row r="32" spans="1:55" ht="21.75" customHeight="1" x14ac:dyDescent="0.25">
      <c r="A32" s="16" t="s">
        <v>36</v>
      </c>
      <c r="B32" s="5"/>
      <c r="C32" s="5"/>
      <c r="D32" s="5">
        <v>8.2209000000000003</v>
      </c>
      <c r="E32" s="5">
        <v>173.739</v>
      </c>
      <c r="F32" s="5">
        <v>2.5999999999999999E-3</v>
      </c>
      <c r="G32" s="5">
        <v>1.66E-2</v>
      </c>
      <c r="H32" s="5"/>
      <c r="I32" s="5"/>
      <c r="J32" s="6">
        <v>95.237300000000005</v>
      </c>
      <c r="K32" s="5">
        <v>4147.1829000000007</v>
      </c>
      <c r="L32" s="5"/>
      <c r="M32" s="5"/>
      <c r="N32" s="5">
        <v>2.0000000000000001E-4</v>
      </c>
      <c r="O32" s="5">
        <v>4.0000000000000002E-4</v>
      </c>
      <c r="P32" s="5">
        <v>2.3140000000000001</v>
      </c>
      <c r="Q32" s="5">
        <v>32.631999999999998</v>
      </c>
      <c r="R32" s="5">
        <v>7.95</v>
      </c>
      <c r="S32" s="5">
        <v>38.765000000000001</v>
      </c>
      <c r="T32" s="5">
        <v>2.9314</v>
      </c>
      <c r="U32" s="5">
        <v>46.599299999999999</v>
      </c>
      <c r="V32" s="5"/>
      <c r="W32" s="5"/>
      <c r="X32" s="5"/>
      <c r="Y32" s="5"/>
      <c r="Z32" s="5">
        <v>147.47999999999999</v>
      </c>
      <c r="AA32" s="5">
        <v>896.77599999999995</v>
      </c>
      <c r="AB32" s="5">
        <v>1.0720000000000001</v>
      </c>
      <c r="AC32" s="5">
        <v>252.9341</v>
      </c>
      <c r="AD32" s="5"/>
      <c r="AE32" s="5"/>
      <c r="AF32" s="17">
        <f>' Citrus 2014-15(Final)'!J32</f>
        <v>10.6585</v>
      </c>
      <c r="AG32" s="17">
        <f>' Citrus 2014-15(Final)'!K32</f>
        <v>33.457300000000004</v>
      </c>
      <c r="AH32" s="5">
        <v>3.3000000000000002E-2</v>
      </c>
      <c r="AI32" s="5">
        <v>0.20710000000000001</v>
      </c>
      <c r="AJ32" s="5">
        <v>0.7671</v>
      </c>
      <c r="AK32" s="5">
        <v>32.230200000000004</v>
      </c>
      <c r="AN32" s="5">
        <v>0.59499999999999997</v>
      </c>
      <c r="AO32" s="5">
        <v>20.288</v>
      </c>
      <c r="AP32" s="5">
        <v>0.41370000000000001</v>
      </c>
      <c r="AQ32" s="5">
        <v>5.3301999999999996</v>
      </c>
      <c r="AR32" s="5">
        <v>0.34589999999999999</v>
      </c>
      <c r="AS32" s="5">
        <v>12.188899999999999</v>
      </c>
      <c r="AT32" s="5">
        <v>6.742</v>
      </c>
      <c r="AU32" s="5">
        <v>237.54300000000001</v>
      </c>
      <c r="AV32" s="5">
        <v>6.4000000000000003E-3</v>
      </c>
      <c r="AW32" s="5">
        <v>5.7599999999999998E-2</v>
      </c>
      <c r="AX32" s="5"/>
      <c r="AY32" s="5"/>
      <c r="AZ32" s="5">
        <v>0.92300000000000004</v>
      </c>
      <c r="BA32" s="5">
        <v>33.985599999999998</v>
      </c>
      <c r="BB32" s="17">
        <f t="shared" si="0"/>
        <v>285.69300000000004</v>
      </c>
      <c r="BC32" s="17">
        <f t="shared" si="1"/>
        <v>5963.9332000000004</v>
      </c>
    </row>
    <row r="33" spans="1:55" ht="21.75" customHeight="1" x14ac:dyDescent="0.25">
      <c r="A33" s="21" t="s">
        <v>218</v>
      </c>
      <c r="B33" s="6"/>
      <c r="C33" s="6"/>
      <c r="D33" s="6"/>
      <c r="E33" s="6"/>
      <c r="F33" s="6"/>
      <c r="G33" s="6"/>
      <c r="H33" s="6"/>
      <c r="I33" s="6"/>
      <c r="J33" s="6">
        <v>8.9499999999999993</v>
      </c>
      <c r="K33" s="6">
        <v>325.51499999999999</v>
      </c>
      <c r="L33" s="6"/>
      <c r="M33" s="6"/>
      <c r="N33" s="6">
        <v>1.581</v>
      </c>
      <c r="O33" s="6">
        <v>9.4909999999999997</v>
      </c>
      <c r="P33" s="6">
        <v>1.268</v>
      </c>
      <c r="Q33" s="6">
        <v>26.808</v>
      </c>
      <c r="R33" s="6">
        <v>6.2839999999999998</v>
      </c>
      <c r="S33" s="6">
        <v>95.641999999999996</v>
      </c>
      <c r="T33" s="6"/>
      <c r="U33" s="6"/>
      <c r="V33" s="6"/>
      <c r="W33" s="6"/>
      <c r="X33" s="6"/>
      <c r="Y33" s="6"/>
      <c r="Z33" s="6">
        <v>196.441</v>
      </c>
      <c r="AA33" s="6">
        <v>1801.748</v>
      </c>
      <c r="AB33" s="6">
        <v>2.9209999999999998</v>
      </c>
      <c r="AC33" s="6">
        <v>234.42599999999999</v>
      </c>
      <c r="AD33" s="6"/>
      <c r="AE33" s="6"/>
      <c r="AF33" s="17">
        <f>' Citrus 2014-15(Final)'!J33</f>
        <v>134.864</v>
      </c>
      <c r="AG33" s="17">
        <f>' Citrus 2014-15(Final)'!K33</f>
        <v>2686.884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>
        <v>2.1230000000000002</v>
      </c>
      <c r="AS33" s="6">
        <v>33.524000000000001</v>
      </c>
      <c r="AT33" s="6">
        <v>1.492</v>
      </c>
      <c r="AU33" s="6">
        <v>14.917999999999999</v>
      </c>
      <c r="AV33" s="6"/>
      <c r="AW33" s="6"/>
      <c r="AX33" s="6"/>
      <c r="AY33" s="6"/>
      <c r="AZ33" s="6">
        <v>5.8520000000000003</v>
      </c>
      <c r="BA33" s="6">
        <v>58.74</v>
      </c>
      <c r="BB33" s="17">
        <f t="shared" si="0"/>
        <v>361.77599999999995</v>
      </c>
      <c r="BC33" s="17">
        <f t="shared" si="1"/>
        <v>5287.6959999999999</v>
      </c>
    </row>
    <row r="34" spans="1:55" ht="21.75" customHeight="1" x14ac:dyDescent="0.25">
      <c r="A34" s="16" t="s">
        <v>37</v>
      </c>
      <c r="B34" s="6"/>
      <c r="C34" s="6"/>
      <c r="D34" s="6"/>
      <c r="E34" s="6"/>
      <c r="F34" s="6"/>
      <c r="G34" s="6"/>
      <c r="H34" s="6"/>
      <c r="I34" s="6"/>
      <c r="J34" s="6">
        <v>13.99</v>
      </c>
      <c r="K34" s="6">
        <v>141.31299999999999</v>
      </c>
      <c r="L34" s="6">
        <v>5.5E-2</v>
      </c>
      <c r="M34" s="6">
        <v>0</v>
      </c>
      <c r="N34" s="6"/>
      <c r="O34" s="6"/>
      <c r="P34" s="6"/>
      <c r="Q34" s="6"/>
      <c r="R34" s="6">
        <v>1.22</v>
      </c>
      <c r="S34" s="6">
        <v>6.3</v>
      </c>
      <c r="T34" s="6">
        <v>10.41</v>
      </c>
      <c r="U34" s="6">
        <v>300</v>
      </c>
      <c r="V34" s="6"/>
      <c r="W34" s="6"/>
      <c r="X34" s="6">
        <v>3.9209999999999998</v>
      </c>
      <c r="Y34" s="6">
        <v>20.577999999999999</v>
      </c>
      <c r="Z34" s="6">
        <v>11.18</v>
      </c>
      <c r="AA34" s="6">
        <v>62.558999999999997</v>
      </c>
      <c r="AB34" s="6">
        <v>3.7240000000000002</v>
      </c>
      <c r="AC34" s="6">
        <v>37.247</v>
      </c>
      <c r="AD34" s="6"/>
      <c r="AE34" s="6"/>
      <c r="AF34" s="17">
        <f>' Citrus 2014-15(Final)'!J34</f>
        <v>13.456</v>
      </c>
      <c r="AG34" s="17">
        <f>' Citrus 2014-15(Final)'!K34</f>
        <v>66.137999999999991</v>
      </c>
      <c r="AH34" s="6"/>
      <c r="AI34" s="6"/>
      <c r="AJ34" s="6"/>
      <c r="AK34" s="6"/>
      <c r="AL34" s="6"/>
      <c r="AM34" s="6"/>
      <c r="AN34" s="6">
        <v>11.948</v>
      </c>
      <c r="AO34" s="6">
        <v>170.89</v>
      </c>
      <c r="AP34" s="6"/>
      <c r="AQ34" s="6"/>
      <c r="AR34" s="6"/>
      <c r="AS34" s="6"/>
      <c r="AT34" s="6">
        <v>0.192</v>
      </c>
      <c r="AU34" s="6">
        <v>1.5549999999999999</v>
      </c>
      <c r="AV34" s="6"/>
      <c r="AW34" s="6"/>
      <c r="AX34" s="6"/>
      <c r="AY34" s="6"/>
      <c r="AZ34" s="6">
        <v>1.6719999999999999</v>
      </c>
      <c r="BA34" s="6">
        <v>12.54</v>
      </c>
      <c r="BB34" s="17">
        <f t="shared" si="0"/>
        <v>71.767999999999986</v>
      </c>
      <c r="BC34" s="17">
        <f t="shared" si="1"/>
        <v>819.11999999999989</v>
      </c>
    </row>
    <row r="35" spans="1:55" ht="21.75" customHeight="1" x14ac:dyDescent="0.25">
      <c r="A35" s="16" t="s">
        <v>38</v>
      </c>
      <c r="B35" s="6"/>
      <c r="C35" s="6"/>
      <c r="D35" s="6">
        <v>34.337000000000003</v>
      </c>
      <c r="E35" s="6">
        <v>374.27800000000002</v>
      </c>
      <c r="F35" s="20"/>
      <c r="G35" s="20"/>
      <c r="H35" s="6"/>
      <c r="I35" s="6"/>
      <c r="J35" s="6">
        <v>42.585999999999999</v>
      </c>
      <c r="K35" s="6">
        <v>1990.578</v>
      </c>
      <c r="L35" s="6"/>
      <c r="M35" s="6"/>
      <c r="N35" s="6"/>
      <c r="O35" s="6"/>
      <c r="P35" s="6"/>
      <c r="Q35" s="6"/>
      <c r="R35" s="6">
        <v>44.677</v>
      </c>
      <c r="S35" s="6">
        <v>846.63</v>
      </c>
      <c r="T35" s="6"/>
      <c r="U35" s="6"/>
      <c r="V35" s="6"/>
      <c r="W35" s="6"/>
      <c r="X35" s="6"/>
      <c r="Y35" s="6"/>
      <c r="Z35" s="6">
        <v>250.738</v>
      </c>
      <c r="AA35" s="6">
        <v>4347.5</v>
      </c>
      <c r="AB35" s="6"/>
      <c r="AC35" s="6"/>
      <c r="AD35" s="6"/>
      <c r="AE35" s="6"/>
      <c r="AF35" s="17">
        <f>' Citrus 2014-15(Final)'!J35</f>
        <v>0</v>
      </c>
      <c r="AG35" s="17">
        <f>' Citrus 2014-15(Final)'!K35</f>
        <v>0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17">
        <f t="shared" si="0"/>
        <v>372.33799999999997</v>
      </c>
      <c r="BC35" s="17">
        <f t="shared" si="1"/>
        <v>7558.9859999999999</v>
      </c>
    </row>
    <row r="36" spans="1:55" ht="21.75" customHeight="1" x14ac:dyDescent="0.25">
      <c r="A36" s="16" t="s">
        <v>88</v>
      </c>
      <c r="B36" s="6"/>
      <c r="C36" s="6"/>
      <c r="D36" s="6">
        <v>0.755</v>
      </c>
      <c r="E36" s="6">
        <v>2.036</v>
      </c>
      <c r="F36" s="6">
        <v>34.685000000000002</v>
      </c>
      <c r="G36" s="6">
        <v>106.104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v>2.4169999999999998</v>
      </c>
      <c r="S36" s="6">
        <v>16.170999999999999</v>
      </c>
      <c r="T36" s="6"/>
      <c r="U36" s="6"/>
      <c r="V36" s="6"/>
      <c r="W36" s="6"/>
      <c r="X36" s="6">
        <v>9.7210000000000001</v>
      </c>
      <c r="Y36" s="6">
        <v>19.741</v>
      </c>
      <c r="Z36" s="6">
        <v>40.701000000000001</v>
      </c>
      <c r="AA36" s="6">
        <v>150.62200000000001</v>
      </c>
      <c r="AB36" s="6"/>
      <c r="AC36" s="6"/>
      <c r="AD36" s="6"/>
      <c r="AE36" s="6"/>
      <c r="AF36" s="17">
        <f>' Citrus 2014-15(Final)'!J36</f>
        <v>28.405000000000001</v>
      </c>
      <c r="AG36" s="17">
        <f>' Citrus 2014-15(Final)'!K36</f>
        <v>139.31700000000001</v>
      </c>
      <c r="AH36" s="6">
        <v>9.3439999999999994</v>
      </c>
      <c r="AI36" s="6">
        <v>49.801000000000002</v>
      </c>
      <c r="AJ36" s="6">
        <v>15.417</v>
      </c>
      <c r="AK36" s="6">
        <v>104.008</v>
      </c>
      <c r="AL36" s="6"/>
      <c r="AM36" s="6"/>
      <c r="AN36" s="6"/>
      <c r="AO36" s="6"/>
      <c r="AP36" s="6">
        <v>9.8309999999999995</v>
      </c>
      <c r="AQ36" s="6">
        <v>37.893999999999998</v>
      </c>
      <c r="AR36" s="6"/>
      <c r="AS36" s="6"/>
      <c r="AT36" s="6"/>
      <c r="AU36" s="6"/>
      <c r="AV36" s="6"/>
      <c r="AW36" s="6"/>
      <c r="AX36" s="6">
        <v>19.236000000000001</v>
      </c>
      <c r="AY36" s="6">
        <v>22.222000000000001</v>
      </c>
      <c r="AZ36" s="6">
        <f>9.155+25.291</f>
        <v>34.445999999999998</v>
      </c>
      <c r="BA36" s="6">
        <f>31.432+106.62</f>
        <v>138.05199999999999</v>
      </c>
      <c r="BB36" s="17">
        <f t="shared" si="0"/>
        <v>204.95799999999997</v>
      </c>
      <c r="BC36" s="17">
        <f t="shared" si="1"/>
        <v>785.96800000000007</v>
      </c>
    </row>
    <row r="37" spans="1:55" ht="21.75" customHeight="1" x14ac:dyDescent="0.25">
      <c r="A37" s="16" t="s">
        <v>39</v>
      </c>
      <c r="B37" s="6"/>
      <c r="C37" s="6"/>
      <c r="D37" s="6"/>
      <c r="E37" s="6"/>
      <c r="F37" s="6"/>
      <c r="G37" s="6"/>
      <c r="H37" s="6"/>
      <c r="I37" s="6"/>
      <c r="J37" s="6">
        <v>46.6</v>
      </c>
      <c r="K37" s="6">
        <v>1124</v>
      </c>
      <c r="L37" s="6"/>
      <c r="M37" s="6"/>
      <c r="N37" s="6"/>
      <c r="O37" s="6"/>
      <c r="P37" s="6"/>
      <c r="Q37" s="6"/>
      <c r="R37" s="6">
        <v>14.73</v>
      </c>
      <c r="S37" s="6">
        <v>190.6</v>
      </c>
      <c r="T37" s="6">
        <v>11.555</v>
      </c>
      <c r="U37" s="6">
        <v>196</v>
      </c>
      <c r="V37" s="6"/>
      <c r="W37" s="6"/>
      <c r="X37" s="6">
        <v>9.3800000000000008</v>
      </c>
      <c r="Y37" s="6">
        <v>76.745000000000005</v>
      </c>
      <c r="Z37" s="6">
        <v>95.43</v>
      </c>
      <c r="AA37" s="6">
        <v>799.65</v>
      </c>
      <c r="AB37" s="6">
        <v>11.755000000000001</v>
      </c>
      <c r="AC37" s="6">
        <v>345.5</v>
      </c>
      <c r="AD37" s="6"/>
      <c r="AE37" s="6"/>
      <c r="AF37" s="17">
        <f>' Citrus 2014-15(Final)'!J37</f>
        <v>12.244999999999999</v>
      </c>
      <c r="AG37" s="17">
        <f>' Citrus 2014-15(Final)'!K37</f>
        <v>113.6</v>
      </c>
      <c r="AH37" s="6"/>
      <c r="AI37" s="6"/>
      <c r="AJ37" s="6"/>
      <c r="AK37" s="6"/>
      <c r="AL37" s="6"/>
      <c r="AM37" s="6"/>
      <c r="AN37" s="6">
        <v>10.83</v>
      </c>
      <c r="AO37" s="6">
        <v>320</v>
      </c>
      <c r="AP37" s="6"/>
      <c r="AQ37" s="6"/>
      <c r="AR37" s="6"/>
      <c r="AS37" s="6"/>
      <c r="AT37" s="6">
        <v>4.2750000000000004</v>
      </c>
      <c r="AU37" s="6">
        <v>46.1</v>
      </c>
      <c r="AV37" s="6"/>
      <c r="AW37" s="6"/>
      <c r="AX37" s="6"/>
      <c r="AY37" s="6"/>
      <c r="AZ37" s="6">
        <v>11.45</v>
      </c>
      <c r="BA37" s="6">
        <v>101.5</v>
      </c>
      <c r="BB37" s="17">
        <f t="shared" si="0"/>
        <v>228.25</v>
      </c>
      <c r="BC37" s="17">
        <f t="shared" si="1"/>
        <v>3313.6949999999997</v>
      </c>
    </row>
    <row r="38" spans="1:55" ht="21.75" customHeight="1" x14ac:dyDescent="0.25">
      <c r="A38" s="16" t="s">
        <v>9</v>
      </c>
      <c r="B38" s="17">
        <f>SUM(B3:B37)</f>
        <v>20.9407</v>
      </c>
      <c r="C38" s="17">
        <f t="shared" ref="C38:BC38" si="2">SUM(C3:C37)</f>
        <v>9.8804000000000016</v>
      </c>
      <c r="D38" s="17">
        <f t="shared" si="2"/>
        <v>95.086500000000001</v>
      </c>
      <c r="E38" s="17">
        <f t="shared" si="2"/>
        <v>1173.3275000000003</v>
      </c>
      <c r="F38" s="17">
        <f t="shared" si="2"/>
        <v>319.19559999999996</v>
      </c>
      <c r="G38" s="17">
        <f t="shared" si="2"/>
        <v>2133.8364000000001</v>
      </c>
      <c r="H38" s="17">
        <f t="shared" si="2"/>
        <v>9.58</v>
      </c>
      <c r="I38" s="17">
        <f t="shared" si="2"/>
        <v>50.439</v>
      </c>
      <c r="J38" s="17">
        <f t="shared" si="2"/>
        <v>821.80250000000012</v>
      </c>
      <c r="K38" s="17">
        <f t="shared" si="2"/>
        <v>29221.469599999997</v>
      </c>
      <c r="L38" s="17">
        <f t="shared" si="2"/>
        <v>42.117299999999993</v>
      </c>
      <c r="M38" s="17">
        <f t="shared" si="2"/>
        <v>400.67160000000001</v>
      </c>
      <c r="N38" s="17">
        <f t="shared" si="2"/>
        <v>29.8657</v>
      </c>
      <c r="O38" s="17">
        <f t="shared" si="2"/>
        <v>228.36748999999998</v>
      </c>
      <c r="P38" s="17">
        <f t="shared" si="2"/>
        <v>122.96459999999999</v>
      </c>
      <c r="Q38" s="17">
        <f t="shared" si="2"/>
        <v>2822.7787000000003</v>
      </c>
      <c r="R38" s="17">
        <f t="shared" si="2"/>
        <v>246.23769999999996</v>
      </c>
      <c r="S38" s="17">
        <f t="shared" si="2"/>
        <v>3993.5046839999991</v>
      </c>
      <c r="T38" s="17">
        <f t="shared" si="2"/>
        <v>118.38740000000001</v>
      </c>
      <c r="U38" s="17">
        <f t="shared" si="2"/>
        <v>2087.8825000000002</v>
      </c>
      <c r="V38" s="17">
        <f t="shared" si="2"/>
        <v>4.6311</v>
      </c>
      <c r="W38" s="17">
        <f t="shared" si="2"/>
        <v>8.4994999999999994</v>
      </c>
      <c r="X38" s="17">
        <f t="shared" si="2"/>
        <v>84.953600000000009</v>
      </c>
      <c r="Y38" s="17">
        <f t="shared" si="2"/>
        <v>528.25930000000005</v>
      </c>
      <c r="Z38" s="17">
        <f t="shared" si="2"/>
        <v>2163.4663999999998</v>
      </c>
      <c r="AA38" s="17">
        <f t="shared" si="2"/>
        <v>18526.980699999996</v>
      </c>
      <c r="AB38" s="17">
        <f t="shared" si="2"/>
        <v>114.96939999999999</v>
      </c>
      <c r="AC38" s="17">
        <f t="shared" si="2"/>
        <v>4912.6727400000009</v>
      </c>
      <c r="AD38" s="17">
        <f t="shared" si="2"/>
        <v>18.825099999999999</v>
      </c>
      <c r="AE38" s="17">
        <f t="shared" si="2"/>
        <v>129.27082000000001</v>
      </c>
      <c r="AF38" s="17">
        <f t="shared" si="2"/>
        <v>953.40079999999989</v>
      </c>
      <c r="AG38" s="17">
        <f t="shared" si="2"/>
        <v>11655.201599999999</v>
      </c>
      <c r="AH38" s="17">
        <f t="shared" si="2"/>
        <v>18.911999999999999</v>
      </c>
      <c r="AI38" s="17">
        <f t="shared" si="2"/>
        <v>96.575500000000005</v>
      </c>
      <c r="AJ38" s="17">
        <f t="shared" si="2"/>
        <v>41.5047</v>
      </c>
      <c r="AK38" s="17">
        <f t="shared" si="2"/>
        <v>302.654</v>
      </c>
      <c r="AL38" s="17">
        <f t="shared" si="2"/>
        <v>1.1429</v>
      </c>
      <c r="AM38" s="17">
        <f t="shared" si="2"/>
        <v>0.13139999999999999</v>
      </c>
      <c r="AN38" s="17">
        <f t="shared" si="2"/>
        <v>116.12340000000002</v>
      </c>
      <c r="AO38" s="17">
        <f t="shared" si="2"/>
        <v>1984.0360000000001</v>
      </c>
      <c r="AP38" s="17">
        <f t="shared" si="2"/>
        <v>23.222700000000003</v>
      </c>
      <c r="AQ38" s="17">
        <f t="shared" si="2"/>
        <v>72.155349999999999</v>
      </c>
      <c r="AR38" s="17">
        <f t="shared" si="2"/>
        <v>180.63740000000001</v>
      </c>
      <c r="AS38" s="17">
        <f t="shared" si="2"/>
        <v>1789.3070299999999</v>
      </c>
      <c r="AT38" s="17">
        <f t="shared" si="2"/>
        <v>106.49250000000001</v>
      </c>
      <c r="AU38" s="17">
        <f t="shared" si="2"/>
        <v>1339.0049999999997</v>
      </c>
      <c r="AV38" s="17">
        <f t="shared" si="2"/>
        <v>0.83489999999999998</v>
      </c>
      <c r="AW38" s="17">
        <f t="shared" si="2"/>
        <v>8.4952000000000005</v>
      </c>
      <c r="AX38" s="17">
        <f t="shared" si="2"/>
        <v>114.84760000000001</v>
      </c>
      <c r="AY38" s="17">
        <f t="shared" si="2"/>
        <v>238.25390000000002</v>
      </c>
      <c r="AZ38" s="17">
        <f t="shared" si="2"/>
        <v>339.52889999999996</v>
      </c>
      <c r="BA38" s="17">
        <f t="shared" si="2"/>
        <v>2888.0287699999994</v>
      </c>
      <c r="BB38" s="17">
        <f t="shared" si="2"/>
        <v>6109.6714000000011</v>
      </c>
      <c r="BC38" s="17">
        <f t="shared" si="2"/>
        <v>86601.684684000007</v>
      </c>
    </row>
    <row r="39" spans="1:55" ht="17.25" customHeight="1" x14ac:dyDescent="0.25">
      <c r="A39" s="83" t="s">
        <v>267</v>
      </c>
      <c r="BB39" s="22"/>
      <c r="BC39" s="22"/>
    </row>
    <row r="40" spans="1:55" ht="17.25" customHeight="1" x14ac:dyDescent="0.25">
      <c r="A40" s="83" t="s">
        <v>192</v>
      </c>
    </row>
  </sheetData>
  <mergeCells count="27">
    <mergeCell ref="AL1:AM1"/>
    <mergeCell ref="AN1:AO1"/>
    <mergeCell ref="BB1:BC1"/>
    <mergeCell ref="AP1:AQ1"/>
    <mergeCell ref="AR1:AS1"/>
    <mergeCell ref="AT1:AU1"/>
    <mergeCell ref="AV1:AW1"/>
    <mergeCell ref="AX1:AY1"/>
    <mergeCell ref="AZ1:BA1"/>
    <mergeCell ref="AH1:AI1"/>
    <mergeCell ref="AJ1:AK1"/>
    <mergeCell ref="AD1:AE1"/>
    <mergeCell ref="AF1:AG1"/>
    <mergeCell ref="V1:W1"/>
    <mergeCell ref="X1:Y1"/>
    <mergeCell ref="Z1:AA1"/>
    <mergeCell ref="AB1:AC1"/>
    <mergeCell ref="R1:S1"/>
    <mergeCell ref="T1:U1"/>
    <mergeCell ref="B1:C1"/>
    <mergeCell ref="D1:E1"/>
    <mergeCell ref="F1:G1"/>
    <mergeCell ref="H1:I1"/>
    <mergeCell ref="J1:K1"/>
    <mergeCell ref="L1:M1"/>
    <mergeCell ref="N1:O1"/>
    <mergeCell ref="P1:Q1"/>
  </mergeCells>
  <phoneticPr fontId="20" type="noConversion"/>
  <printOptions horizontalCentered="1" verticalCentered="1"/>
  <pageMargins left="0.35433070866141703" right="0.196850393700787" top="0.98425196850393704" bottom="0.27559055118110198" header="0.55118110236220497" footer="0.15748031496063"/>
  <pageSetup scale="60" orientation="landscape" r:id="rId1"/>
  <headerFooter alignWithMargins="0">
    <oddHeader xml:space="preserve">&amp;C&amp;"-,Bold"&amp;18&amp;UArea and Production of Fruit Crops 2014-15 (Final)&amp;R&amp;"-,Bold"&amp;11Area in'000 Ha
Production in '000 MT </oddHeader>
  </headerFooter>
  <colBreaks count="2" manualBreakCount="2">
    <brk id="19" max="38" man="1"/>
    <brk id="37" max="3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A39" sqref="A39:A40"/>
    </sheetView>
  </sheetViews>
  <sheetFormatPr defaultColWidth="9.5703125" defaultRowHeight="15.75" customHeight="1" x14ac:dyDescent="0.25"/>
  <cols>
    <col min="1" max="1" width="24.5703125" style="23" customWidth="1"/>
    <col min="2" max="11" width="14.5703125" style="23" customWidth="1"/>
    <col min="12" max="16384" width="9.5703125" style="23"/>
  </cols>
  <sheetData>
    <row r="1" spans="1:11" ht="45.75" customHeight="1" x14ac:dyDescent="0.25">
      <c r="A1" s="61" t="s">
        <v>188</v>
      </c>
      <c r="B1" s="163" t="s">
        <v>107</v>
      </c>
      <c r="C1" s="163"/>
      <c r="D1" s="164" t="s">
        <v>219</v>
      </c>
      <c r="E1" s="164"/>
      <c r="F1" s="165" t="s">
        <v>167</v>
      </c>
      <c r="G1" s="166"/>
      <c r="H1" s="163" t="s">
        <v>108</v>
      </c>
      <c r="I1" s="163"/>
      <c r="J1" s="163" t="s">
        <v>9</v>
      </c>
      <c r="K1" s="163"/>
    </row>
    <row r="2" spans="1:11" ht="15.75" customHeight="1" x14ac:dyDescent="0.25">
      <c r="A2" s="2"/>
      <c r="B2" s="54" t="s">
        <v>47</v>
      </c>
      <c r="C2" s="54" t="s">
        <v>10</v>
      </c>
      <c r="D2" s="61" t="s">
        <v>47</v>
      </c>
      <c r="E2" s="61" t="s">
        <v>10</v>
      </c>
      <c r="F2" s="54" t="s">
        <v>47</v>
      </c>
      <c r="G2" s="54" t="s">
        <v>10</v>
      </c>
      <c r="H2" s="54" t="s">
        <v>47</v>
      </c>
      <c r="I2" s="54" t="s">
        <v>10</v>
      </c>
      <c r="J2" s="54" t="s">
        <v>47</v>
      </c>
      <c r="K2" s="54" t="s">
        <v>10</v>
      </c>
    </row>
    <row r="3" spans="1:11" ht="15.75" customHeight="1" x14ac:dyDescent="0.25">
      <c r="A3" s="3" t="s">
        <v>11</v>
      </c>
      <c r="B3" s="7">
        <v>0.17699999999999999</v>
      </c>
      <c r="C3" s="7">
        <v>0.94899999999999995</v>
      </c>
      <c r="D3" s="7">
        <v>0.09</v>
      </c>
      <c r="E3" s="7">
        <v>0.112</v>
      </c>
      <c r="F3" s="7">
        <v>7.9000000000000001E-2</v>
      </c>
      <c r="G3" s="7">
        <v>0.16700000000000001</v>
      </c>
      <c r="H3" s="7"/>
      <c r="I3" s="7"/>
      <c r="J3" s="25">
        <f>B3+D3+F3+H3</f>
        <v>0.34600000000000003</v>
      </c>
      <c r="K3" s="25">
        <f>C3+E3+G3+I3</f>
        <v>1.228</v>
      </c>
    </row>
    <row r="4" spans="1:11" ht="16.5" customHeight="1" x14ac:dyDescent="0.25">
      <c r="A4" s="3" t="s">
        <v>12</v>
      </c>
      <c r="B4" s="7">
        <v>38.229999999999997</v>
      </c>
      <c r="C4" s="7">
        <v>499.887</v>
      </c>
      <c r="D4" s="7"/>
      <c r="E4" s="7"/>
      <c r="F4" s="7">
        <v>72.855000000000004</v>
      </c>
      <c r="G4" s="7">
        <v>1217.453</v>
      </c>
      <c r="H4" s="7"/>
      <c r="I4" s="7"/>
      <c r="J4" s="25">
        <f t="shared" ref="J4:J37" si="0">B4+D4+F4+H4</f>
        <v>111.08500000000001</v>
      </c>
      <c r="K4" s="25">
        <f t="shared" ref="K4:K37" si="1">C4+E4+G4+I4</f>
        <v>1717.34</v>
      </c>
    </row>
    <row r="5" spans="1:11" ht="15.75" customHeight="1" x14ac:dyDescent="0.25">
      <c r="A5" s="26" t="s">
        <v>13</v>
      </c>
      <c r="B5" s="7"/>
      <c r="C5" s="7"/>
      <c r="D5" s="7"/>
      <c r="E5" s="7"/>
      <c r="F5" s="7"/>
      <c r="G5" s="7"/>
      <c r="H5" s="7">
        <v>40</v>
      </c>
      <c r="I5" s="7">
        <v>190</v>
      </c>
      <c r="J5" s="25">
        <f t="shared" si="0"/>
        <v>40</v>
      </c>
      <c r="K5" s="25">
        <f t="shared" si="1"/>
        <v>190</v>
      </c>
    </row>
    <row r="6" spans="1:11" ht="15.75" customHeight="1" x14ac:dyDescent="0.25">
      <c r="A6" s="3" t="s">
        <v>14</v>
      </c>
      <c r="B6" s="7">
        <v>13.073</v>
      </c>
      <c r="C6" s="7">
        <v>104.533</v>
      </c>
      <c r="D6" s="7">
        <v>15.760999999999999</v>
      </c>
      <c r="E6" s="7">
        <v>202.37799999999999</v>
      </c>
      <c r="F6" s="7">
        <v>0.14199999999999999</v>
      </c>
      <c r="G6" s="7">
        <v>1.8460000000000001</v>
      </c>
      <c r="H6" s="7"/>
      <c r="I6" s="7"/>
      <c r="J6" s="25">
        <f t="shared" si="0"/>
        <v>28.975999999999999</v>
      </c>
      <c r="K6" s="25">
        <f t="shared" si="1"/>
        <v>308.75700000000001</v>
      </c>
    </row>
    <row r="7" spans="1:11" ht="15" customHeight="1" x14ac:dyDescent="0.25">
      <c r="A7" s="3" t="s">
        <v>15</v>
      </c>
      <c r="B7" s="7">
        <v>18</v>
      </c>
      <c r="C7" s="7">
        <v>129</v>
      </c>
      <c r="D7" s="7"/>
      <c r="E7" s="7"/>
      <c r="F7" s="7"/>
      <c r="G7" s="7"/>
      <c r="H7" s="7"/>
      <c r="I7" s="7"/>
      <c r="J7" s="25">
        <f t="shared" si="0"/>
        <v>18</v>
      </c>
      <c r="K7" s="25">
        <f t="shared" si="1"/>
        <v>129</v>
      </c>
    </row>
    <row r="8" spans="1:11" ht="15.75" customHeight="1" x14ac:dyDescent="0.25">
      <c r="A8" s="3" t="s">
        <v>54</v>
      </c>
      <c r="B8" s="7">
        <v>11.419</v>
      </c>
      <c r="C8" s="7">
        <v>83.49</v>
      </c>
      <c r="D8" s="7"/>
      <c r="E8" s="7"/>
      <c r="F8" s="7">
        <v>0.34599999999999997</v>
      </c>
      <c r="G8" s="7">
        <v>2.008</v>
      </c>
      <c r="H8" s="7"/>
      <c r="I8" s="7"/>
      <c r="J8" s="25">
        <f t="shared" si="0"/>
        <v>11.765000000000001</v>
      </c>
      <c r="K8" s="25">
        <f t="shared" si="1"/>
        <v>85.49799999999999</v>
      </c>
    </row>
    <row r="9" spans="1:11" ht="15.75" customHeight="1" x14ac:dyDescent="0.25">
      <c r="A9" s="3" t="s">
        <v>16</v>
      </c>
      <c r="B9" s="7"/>
      <c r="C9" s="7"/>
      <c r="D9" s="7"/>
      <c r="E9" s="7"/>
      <c r="F9" s="7"/>
      <c r="G9" s="7"/>
      <c r="H9" s="7"/>
      <c r="I9" s="7"/>
      <c r="J9" s="25">
        <f t="shared" si="0"/>
        <v>0</v>
      </c>
      <c r="K9" s="25">
        <f t="shared" si="1"/>
        <v>0</v>
      </c>
    </row>
    <row r="10" spans="1:11" ht="15.75" customHeight="1" x14ac:dyDescent="0.25">
      <c r="A10" s="3" t="s">
        <v>17</v>
      </c>
      <c r="B10" s="7">
        <v>8.9999999999999993E-3</v>
      </c>
      <c r="C10" s="7">
        <v>8.0000000000000002E-3</v>
      </c>
      <c r="D10" s="7"/>
      <c r="E10" s="7"/>
      <c r="F10" s="7"/>
      <c r="G10" s="7"/>
      <c r="H10" s="7">
        <v>1E-3</v>
      </c>
      <c r="I10" s="7">
        <v>1E-3</v>
      </c>
      <c r="J10" s="25">
        <f t="shared" si="0"/>
        <v>9.9999999999999985E-3</v>
      </c>
      <c r="K10" s="25">
        <f t="shared" si="1"/>
        <v>9.0000000000000011E-3</v>
      </c>
    </row>
    <row r="11" spans="1:11" ht="15.75" customHeight="1" x14ac:dyDescent="0.25">
      <c r="A11" s="3" t="s">
        <v>18</v>
      </c>
      <c r="B11" s="7">
        <v>3.2000000000000001E-2</v>
      </c>
      <c r="C11" s="7">
        <v>0.19400000000000001</v>
      </c>
      <c r="D11" s="7"/>
      <c r="E11" s="7"/>
      <c r="F11" s="7"/>
      <c r="G11" s="7"/>
      <c r="H11" s="7">
        <v>2.9000000000000001E-2</v>
      </c>
      <c r="I11" s="7">
        <v>0.26</v>
      </c>
      <c r="J11" s="25">
        <f t="shared" si="0"/>
        <v>6.0999999999999999E-2</v>
      </c>
      <c r="K11" s="25">
        <f t="shared" si="1"/>
        <v>0.45400000000000001</v>
      </c>
    </row>
    <row r="12" spans="1:11" ht="15.75" customHeight="1" x14ac:dyDescent="0.25">
      <c r="A12" s="3" t="s">
        <v>19</v>
      </c>
      <c r="B12" s="7"/>
      <c r="C12" s="7"/>
      <c r="D12" s="7"/>
      <c r="E12" s="7"/>
      <c r="F12" s="7"/>
      <c r="G12" s="7"/>
      <c r="H12" s="7"/>
      <c r="I12" s="7"/>
      <c r="J12" s="25">
        <f t="shared" si="0"/>
        <v>0</v>
      </c>
      <c r="K12" s="25">
        <f t="shared" si="1"/>
        <v>0</v>
      </c>
    </row>
    <row r="13" spans="1:11" ht="15.75" customHeight="1" x14ac:dyDescent="0.25">
      <c r="A13" s="3" t="s">
        <v>20</v>
      </c>
      <c r="B13" s="7">
        <v>41.741999999999997</v>
      </c>
      <c r="C13" s="7">
        <v>462.41500000000002</v>
      </c>
      <c r="D13" s="7"/>
      <c r="E13" s="7"/>
      <c r="F13" s="7"/>
      <c r="G13" s="7"/>
      <c r="H13" s="7"/>
      <c r="I13" s="7"/>
      <c r="J13" s="25">
        <f t="shared" si="0"/>
        <v>41.741999999999997</v>
      </c>
      <c r="K13" s="25">
        <f t="shared" si="1"/>
        <v>462.41500000000002</v>
      </c>
    </row>
    <row r="14" spans="1:11" ht="15.75" customHeight="1" x14ac:dyDescent="0.25">
      <c r="A14" s="3" t="s">
        <v>21</v>
      </c>
      <c r="B14" s="7"/>
      <c r="C14" s="7"/>
      <c r="D14" s="7"/>
      <c r="E14" s="7"/>
      <c r="F14" s="7"/>
      <c r="G14" s="7"/>
      <c r="H14" s="7">
        <v>19.498999999999999</v>
      </c>
      <c r="I14" s="7">
        <v>302.065</v>
      </c>
      <c r="J14" s="25">
        <f t="shared" si="0"/>
        <v>19.498999999999999</v>
      </c>
      <c r="K14" s="25">
        <f t="shared" si="1"/>
        <v>302.065</v>
      </c>
    </row>
    <row r="15" spans="1:11" ht="15.75" customHeight="1" x14ac:dyDescent="0.25">
      <c r="A15" s="3" t="s">
        <v>22</v>
      </c>
      <c r="B15" s="7">
        <v>10.861000000000001</v>
      </c>
      <c r="C15" s="7">
        <v>5.6520000000000001</v>
      </c>
      <c r="D15" s="7">
        <v>8.7100000000000009</v>
      </c>
      <c r="E15" s="7">
        <v>10.96</v>
      </c>
      <c r="F15" s="7">
        <v>1.6679999999999999</v>
      </c>
      <c r="G15" s="7">
        <v>2.101</v>
      </c>
      <c r="H15" s="7">
        <v>2.4649999999999999</v>
      </c>
      <c r="I15" s="7">
        <v>3.452</v>
      </c>
      <c r="J15" s="25">
        <f t="shared" si="0"/>
        <v>23.704000000000001</v>
      </c>
      <c r="K15" s="25">
        <f t="shared" si="1"/>
        <v>22.164999999999999</v>
      </c>
    </row>
    <row r="16" spans="1:11" ht="15.75" customHeight="1" x14ac:dyDescent="0.25">
      <c r="A16" s="3" t="s">
        <v>23</v>
      </c>
      <c r="B16" s="7">
        <v>4.0278</v>
      </c>
      <c r="C16" s="7">
        <v>7.8600999999999992</v>
      </c>
      <c r="D16" s="7">
        <v>2.3081</v>
      </c>
      <c r="E16" s="7">
        <v>4.0071000000000003</v>
      </c>
      <c r="F16" s="7">
        <v>1.7372000000000001</v>
      </c>
      <c r="G16" s="7">
        <v>2.4799000000000002</v>
      </c>
      <c r="H16" s="7">
        <v>5.6571999999999996</v>
      </c>
      <c r="I16" s="7">
        <v>10.409000000000001</v>
      </c>
      <c r="J16" s="25">
        <f t="shared" si="0"/>
        <v>13.7303</v>
      </c>
      <c r="K16" s="25">
        <f t="shared" si="1"/>
        <v>24.756100000000004</v>
      </c>
    </row>
    <row r="17" spans="1:11" ht="15.75" customHeight="1" x14ac:dyDescent="0.25">
      <c r="A17" s="3" t="s">
        <v>24</v>
      </c>
      <c r="B17" s="7">
        <v>8.9380000000000006</v>
      </c>
      <c r="C17" s="7">
        <v>88.545000000000002</v>
      </c>
      <c r="D17" s="7"/>
      <c r="E17" s="7"/>
      <c r="F17" s="7"/>
      <c r="G17" s="7"/>
      <c r="H17" s="7"/>
      <c r="I17" s="7"/>
      <c r="J17" s="25">
        <f t="shared" si="0"/>
        <v>8.9380000000000006</v>
      </c>
      <c r="K17" s="25">
        <f t="shared" si="1"/>
        <v>88.545000000000002</v>
      </c>
    </row>
    <row r="18" spans="1:11" ht="15.75" customHeight="1" x14ac:dyDescent="0.25">
      <c r="A18" s="3" t="s">
        <v>25</v>
      </c>
      <c r="B18" s="7">
        <v>12.651999999999999</v>
      </c>
      <c r="C18" s="7">
        <v>286.77499999999998</v>
      </c>
      <c r="D18" s="7">
        <v>2.86</v>
      </c>
      <c r="E18" s="7">
        <v>64.245000000000005</v>
      </c>
      <c r="F18" s="7">
        <v>2.0049999999999999</v>
      </c>
      <c r="G18" s="7">
        <v>32.159999999999997</v>
      </c>
      <c r="H18" s="7">
        <v>1.3380000000000001</v>
      </c>
      <c r="I18" s="7">
        <v>29.263999999999999</v>
      </c>
      <c r="J18" s="25">
        <f t="shared" si="0"/>
        <v>18.855</v>
      </c>
      <c r="K18" s="25">
        <f t="shared" si="1"/>
        <v>412.44399999999996</v>
      </c>
    </row>
    <row r="19" spans="1:11" ht="15.75" customHeight="1" x14ac:dyDescent="0.25">
      <c r="A19" s="3" t="s">
        <v>26</v>
      </c>
      <c r="B19" s="7">
        <v>7.0000000000000007E-2</v>
      </c>
      <c r="C19" s="7">
        <v>1.6395999999999999</v>
      </c>
      <c r="D19" s="7">
        <v>1.0999999999999999E-2</v>
      </c>
      <c r="E19" s="7">
        <v>5.9499999999999997E-2</v>
      </c>
      <c r="F19" s="7">
        <v>4.3499999999999997E-2</v>
      </c>
      <c r="G19" s="7">
        <v>1.7502</v>
      </c>
      <c r="H19" s="7">
        <v>2.5000000000000001E-2</v>
      </c>
      <c r="I19" s="7">
        <v>5.0000000000000001E-3</v>
      </c>
      <c r="J19" s="25">
        <f t="shared" si="0"/>
        <v>0.14949999999999999</v>
      </c>
      <c r="K19" s="25">
        <f t="shared" si="1"/>
        <v>3.4542999999999999</v>
      </c>
    </row>
    <row r="20" spans="1:11" ht="15.75" customHeight="1" x14ac:dyDescent="0.25">
      <c r="A20" s="3" t="s">
        <v>55</v>
      </c>
      <c r="B20" s="7">
        <v>2E-3</v>
      </c>
      <c r="C20" s="7">
        <v>1E-3</v>
      </c>
      <c r="D20" s="7"/>
      <c r="E20" s="7"/>
      <c r="F20" s="7"/>
      <c r="G20" s="7"/>
      <c r="H20" s="7"/>
      <c r="I20" s="7"/>
      <c r="J20" s="25">
        <f t="shared" si="0"/>
        <v>2E-3</v>
      </c>
      <c r="K20" s="25">
        <f t="shared" si="1"/>
        <v>1E-3</v>
      </c>
    </row>
    <row r="21" spans="1:11" ht="15.75" customHeight="1" x14ac:dyDescent="0.25">
      <c r="A21" s="3" t="s">
        <v>27</v>
      </c>
      <c r="B21" s="7">
        <v>11.116</v>
      </c>
      <c r="C21" s="7">
        <v>245</v>
      </c>
      <c r="D21" s="7">
        <v>60.15</v>
      </c>
      <c r="E21" s="7">
        <v>1030</v>
      </c>
      <c r="F21" s="7">
        <v>8.6980000000000004</v>
      </c>
      <c r="G21" s="7">
        <v>111</v>
      </c>
      <c r="H21" s="7"/>
      <c r="I21" s="7"/>
      <c r="J21" s="25">
        <f t="shared" si="0"/>
        <v>79.963999999999999</v>
      </c>
      <c r="K21" s="25">
        <f t="shared" si="1"/>
        <v>1386</v>
      </c>
    </row>
    <row r="22" spans="1:11" ht="15.75" customHeight="1" x14ac:dyDescent="0.25">
      <c r="A22" s="3" t="s">
        <v>28</v>
      </c>
      <c r="B22" s="64">
        <v>20.132999999999999</v>
      </c>
      <c r="C22" s="64">
        <v>195.20400000000001</v>
      </c>
      <c r="D22" s="64">
        <v>105.46599999999999</v>
      </c>
      <c r="E22" s="64">
        <v>716.072</v>
      </c>
      <c r="F22" s="64">
        <v>61.814999999999998</v>
      </c>
      <c r="G22" s="64">
        <v>542.995</v>
      </c>
      <c r="H22" s="64"/>
      <c r="I22" s="64"/>
      <c r="J22" s="25">
        <f t="shared" si="0"/>
        <v>187.41399999999999</v>
      </c>
      <c r="K22" s="25">
        <f t="shared" si="1"/>
        <v>1454.2710000000002</v>
      </c>
    </row>
    <row r="23" spans="1:11" ht="15.75" customHeight="1" x14ac:dyDescent="0.25">
      <c r="A23" s="4" t="s">
        <v>29</v>
      </c>
      <c r="B23" s="7">
        <v>5.9939999999999998</v>
      </c>
      <c r="C23" s="7">
        <v>52.936</v>
      </c>
      <c r="D23" s="7">
        <v>5.35</v>
      </c>
      <c r="E23" s="7">
        <v>43.061999999999998</v>
      </c>
      <c r="F23" s="7"/>
      <c r="G23" s="7"/>
      <c r="H23" s="7"/>
      <c r="I23" s="7"/>
      <c r="J23" s="25">
        <f t="shared" si="0"/>
        <v>11.343999999999999</v>
      </c>
      <c r="K23" s="25">
        <f t="shared" si="1"/>
        <v>95.99799999999999</v>
      </c>
    </row>
    <row r="24" spans="1:11" ht="15.75" customHeight="1" x14ac:dyDescent="0.25">
      <c r="A24" s="3" t="s">
        <v>30</v>
      </c>
      <c r="B24" s="7">
        <v>1.107</v>
      </c>
      <c r="C24" s="7">
        <v>4.2690000000000001</v>
      </c>
      <c r="D24" s="7">
        <v>8.7799999999999994</v>
      </c>
      <c r="E24" s="7">
        <v>42.231999999999999</v>
      </c>
      <c r="F24" s="7"/>
      <c r="G24" s="7"/>
      <c r="H24" s="7">
        <v>2.157</v>
      </c>
      <c r="I24" s="7">
        <v>6.35</v>
      </c>
      <c r="J24" s="25">
        <f t="shared" si="0"/>
        <v>12.043999999999999</v>
      </c>
      <c r="K24" s="25">
        <f t="shared" si="1"/>
        <v>52.850999999999999</v>
      </c>
    </row>
    <row r="25" spans="1:11" ht="15.75" customHeight="1" x14ac:dyDescent="0.25">
      <c r="A25" s="3" t="s">
        <v>31</v>
      </c>
      <c r="B25" s="7">
        <v>8.1</v>
      </c>
      <c r="C25" s="7">
        <v>25.9</v>
      </c>
      <c r="D25" s="7">
        <v>14.2</v>
      </c>
      <c r="E25" s="7">
        <v>41.2</v>
      </c>
      <c r="F25" s="7">
        <v>1.59</v>
      </c>
      <c r="G25" s="7">
        <v>4.9400000000000004</v>
      </c>
      <c r="H25" s="7">
        <v>2.14</v>
      </c>
      <c r="I25" s="7">
        <v>6.84</v>
      </c>
      <c r="J25" s="25">
        <f t="shared" si="0"/>
        <v>26.029999999999998</v>
      </c>
      <c r="K25" s="25">
        <f t="shared" si="1"/>
        <v>78.88</v>
      </c>
    </row>
    <row r="26" spans="1:11" ht="17.25" customHeight="1" x14ac:dyDescent="0.25">
      <c r="A26" s="26" t="s">
        <v>32</v>
      </c>
      <c r="B26" s="7">
        <v>1.55</v>
      </c>
      <c r="C26" s="7">
        <v>12.4</v>
      </c>
      <c r="D26" s="7">
        <v>6.1</v>
      </c>
      <c r="E26" s="7">
        <v>54.8</v>
      </c>
      <c r="F26" s="7">
        <v>0.26</v>
      </c>
      <c r="G26" s="7">
        <v>2.08</v>
      </c>
      <c r="H26" s="7"/>
      <c r="I26" s="7"/>
      <c r="J26" s="25">
        <f t="shared" si="0"/>
        <v>7.9099999999999993</v>
      </c>
      <c r="K26" s="25">
        <f t="shared" si="1"/>
        <v>69.28</v>
      </c>
    </row>
    <row r="27" spans="1:11" ht="15.75" customHeight="1" x14ac:dyDescent="0.25">
      <c r="A27" s="3" t="s">
        <v>175</v>
      </c>
      <c r="B27" s="7">
        <v>26.603000000000002</v>
      </c>
      <c r="C27" s="7">
        <v>261.76</v>
      </c>
      <c r="D27" s="7"/>
      <c r="E27" s="7"/>
      <c r="F27" s="7"/>
      <c r="G27" s="7"/>
      <c r="H27" s="7">
        <v>0.94099999999999995</v>
      </c>
      <c r="I27" s="7">
        <v>6.61</v>
      </c>
      <c r="J27" s="25">
        <f t="shared" si="0"/>
        <v>27.544</v>
      </c>
      <c r="K27" s="25">
        <f t="shared" si="1"/>
        <v>268.37</v>
      </c>
    </row>
    <row r="28" spans="1:11" ht="15.75" customHeight="1" x14ac:dyDescent="0.25">
      <c r="A28" s="26" t="s">
        <v>165</v>
      </c>
      <c r="B28" s="7">
        <v>1.4999999999999999E-2</v>
      </c>
      <c r="C28" s="7">
        <v>0.12</v>
      </c>
      <c r="D28" s="7"/>
      <c r="E28" s="7"/>
      <c r="F28" s="7"/>
      <c r="G28" s="7"/>
      <c r="H28" s="7"/>
      <c r="I28" s="7"/>
      <c r="J28" s="25">
        <f t="shared" si="0"/>
        <v>1.4999999999999999E-2</v>
      </c>
      <c r="K28" s="25">
        <f t="shared" si="1"/>
        <v>0.12</v>
      </c>
    </row>
    <row r="29" spans="1:11" ht="15.75" customHeight="1" x14ac:dyDescent="0.25">
      <c r="A29" s="3" t="s">
        <v>33</v>
      </c>
      <c r="B29" s="7">
        <v>0.73299999999999998</v>
      </c>
      <c r="C29" s="7">
        <v>5.6280000000000001</v>
      </c>
      <c r="D29" s="7">
        <v>48.182000000000002</v>
      </c>
      <c r="E29" s="7">
        <v>1108.6179999999999</v>
      </c>
      <c r="F29" s="7">
        <v>2.6680000000000001</v>
      </c>
      <c r="G29" s="7">
        <v>21.91</v>
      </c>
      <c r="H29" s="7"/>
      <c r="I29" s="7"/>
      <c r="J29" s="25">
        <f t="shared" si="0"/>
        <v>51.582999999999998</v>
      </c>
      <c r="K29" s="25">
        <f t="shared" si="1"/>
        <v>1136.1559999999999</v>
      </c>
    </row>
    <row r="30" spans="1:11" ht="15.75" customHeight="1" x14ac:dyDescent="0.25">
      <c r="A30" s="3" t="s">
        <v>34</v>
      </c>
      <c r="B30" s="7">
        <v>3</v>
      </c>
      <c r="C30" s="7">
        <v>21.222000000000001</v>
      </c>
      <c r="D30" s="7">
        <v>8.6780000000000008</v>
      </c>
      <c r="E30" s="7">
        <v>300.67099999999999</v>
      </c>
      <c r="F30" s="7">
        <v>1.3720000000000001</v>
      </c>
      <c r="G30" s="7">
        <v>3.8359999999999999</v>
      </c>
      <c r="H30" s="7"/>
      <c r="I30" s="7"/>
      <c r="J30" s="25">
        <f t="shared" si="0"/>
        <v>13.05</v>
      </c>
      <c r="K30" s="25">
        <f t="shared" si="1"/>
        <v>325.72899999999998</v>
      </c>
    </row>
    <row r="31" spans="1:11" ht="15.75" customHeight="1" x14ac:dyDescent="0.25">
      <c r="A31" s="3" t="s">
        <v>35</v>
      </c>
      <c r="B31" s="7"/>
      <c r="C31" s="7"/>
      <c r="D31" s="7">
        <v>1.15E-2</v>
      </c>
      <c r="E31" s="7">
        <v>1.89E-2</v>
      </c>
      <c r="F31" s="7"/>
      <c r="G31" s="7"/>
      <c r="H31" s="7"/>
      <c r="I31" s="7"/>
      <c r="J31" s="25">
        <f t="shared" si="0"/>
        <v>1.15E-2</v>
      </c>
      <c r="K31" s="25">
        <f t="shared" si="1"/>
        <v>1.89E-2</v>
      </c>
    </row>
    <row r="32" spans="1:11" ht="18" customHeight="1" x14ac:dyDescent="0.25">
      <c r="A32" s="3" t="s">
        <v>36</v>
      </c>
      <c r="B32" s="7">
        <v>8.5236000000000001</v>
      </c>
      <c r="C32" s="7">
        <v>19.0307</v>
      </c>
      <c r="D32" s="7">
        <v>1.8331</v>
      </c>
      <c r="E32" s="7">
        <v>4.9310999999999998</v>
      </c>
      <c r="F32" s="7">
        <v>9.0999999999999998E-2</v>
      </c>
      <c r="G32" s="7">
        <v>1.7529999999999999</v>
      </c>
      <c r="H32" s="7">
        <v>0.21079999999999999</v>
      </c>
      <c r="I32" s="7">
        <v>7.7424999999999997</v>
      </c>
      <c r="J32" s="25">
        <f t="shared" si="0"/>
        <v>10.6585</v>
      </c>
      <c r="K32" s="25">
        <f t="shared" si="1"/>
        <v>33.457300000000004</v>
      </c>
    </row>
    <row r="33" spans="1:11" ht="15.75" customHeight="1" x14ac:dyDescent="0.25">
      <c r="A33" s="65" t="s">
        <v>218</v>
      </c>
      <c r="B33" s="7">
        <v>16.765000000000001</v>
      </c>
      <c r="C33" s="7">
        <v>408.18400000000003</v>
      </c>
      <c r="D33" s="7"/>
      <c r="E33" s="7"/>
      <c r="F33" s="7">
        <v>118.099</v>
      </c>
      <c r="G33" s="7">
        <v>2278.6999999999998</v>
      </c>
      <c r="H33" s="7"/>
      <c r="I33" s="7"/>
      <c r="J33" s="25">
        <f t="shared" si="0"/>
        <v>134.864</v>
      </c>
      <c r="K33" s="25">
        <f t="shared" si="1"/>
        <v>2686.884</v>
      </c>
    </row>
    <row r="34" spans="1:11" ht="15.75" customHeight="1" x14ac:dyDescent="0.25">
      <c r="A34" s="3" t="s">
        <v>37</v>
      </c>
      <c r="B34" s="7">
        <v>5.5439999999999996</v>
      </c>
      <c r="C34" s="7">
        <v>27.805</v>
      </c>
      <c r="D34" s="7">
        <v>6.7039999999999997</v>
      </c>
      <c r="E34" s="7">
        <v>36.521000000000001</v>
      </c>
      <c r="F34" s="7">
        <v>1.208</v>
      </c>
      <c r="G34" s="7">
        <v>1.8120000000000001</v>
      </c>
      <c r="H34" s="7"/>
      <c r="I34" s="7"/>
      <c r="J34" s="25">
        <f t="shared" si="0"/>
        <v>13.456</v>
      </c>
      <c r="K34" s="25">
        <f t="shared" si="1"/>
        <v>66.137999999999991</v>
      </c>
    </row>
    <row r="35" spans="1:11" ht="15" customHeight="1" x14ac:dyDescent="0.25">
      <c r="A35" s="3" t="s">
        <v>38</v>
      </c>
      <c r="B35" s="7"/>
      <c r="C35" s="7"/>
      <c r="D35" s="7"/>
      <c r="E35" s="7"/>
      <c r="F35" s="7"/>
      <c r="G35" s="7"/>
      <c r="H35" s="7"/>
      <c r="I35" s="7"/>
      <c r="J35" s="25">
        <f t="shared" si="0"/>
        <v>0</v>
      </c>
      <c r="K35" s="25">
        <f t="shared" si="1"/>
        <v>0</v>
      </c>
    </row>
    <row r="36" spans="1:11" ht="15.75" customHeight="1" x14ac:dyDescent="0.25">
      <c r="A36" s="3" t="s">
        <v>88</v>
      </c>
      <c r="B36" s="7"/>
      <c r="C36" s="7"/>
      <c r="D36" s="7"/>
      <c r="E36" s="7"/>
      <c r="F36" s="7"/>
      <c r="G36" s="7"/>
      <c r="H36" s="7">
        <v>28.405000000000001</v>
      </c>
      <c r="I36" s="7">
        <v>139.31700000000001</v>
      </c>
      <c r="J36" s="25">
        <f t="shared" si="0"/>
        <v>28.405000000000001</v>
      </c>
      <c r="K36" s="25">
        <f t="shared" si="1"/>
        <v>139.31700000000001</v>
      </c>
    </row>
    <row r="37" spans="1:11" ht="15.75" customHeight="1" x14ac:dyDescent="0.25">
      <c r="A37" s="3" t="s">
        <v>39</v>
      </c>
      <c r="B37" s="7"/>
      <c r="C37" s="7"/>
      <c r="D37" s="7">
        <v>4.01</v>
      </c>
      <c r="E37" s="7">
        <v>39.1</v>
      </c>
      <c r="F37" s="7"/>
      <c r="G37" s="7"/>
      <c r="H37" s="7">
        <v>8.2349999999999994</v>
      </c>
      <c r="I37" s="7">
        <v>74.5</v>
      </c>
      <c r="J37" s="25">
        <f t="shared" si="0"/>
        <v>12.244999999999999</v>
      </c>
      <c r="K37" s="25">
        <f t="shared" si="1"/>
        <v>113.6</v>
      </c>
    </row>
    <row r="38" spans="1:11" ht="15.75" customHeight="1" x14ac:dyDescent="0.25">
      <c r="A38" s="3" t="s">
        <v>9</v>
      </c>
      <c r="B38" s="25">
        <f>SUM(B3:B37)</f>
        <v>268.41639999999995</v>
      </c>
      <c r="C38" s="25">
        <f t="shared" ref="C38:K38" si="2">SUM(C3:C37)</f>
        <v>2950.4074000000001</v>
      </c>
      <c r="D38" s="25">
        <f t="shared" si="2"/>
        <v>299.20469999999995</v>
      </c>
      <c r="E38" s="25">
        <f t="shared" si="2"/>
        <v>3698.9875999999995</v>
      </c>
      <c r="F38" s="25">
        <f t="shared" si="2"/>
        <v>274.67670000000004</v>
      </c>
      <c r="G38" s="25">
        <f t="shared" si="2"/>
        <v>4228.9911000000002</v>
      </c>
      <c r="H38" s="25">
        <f t="shared" si="2"/>
        <v>111.10300000000001</v>
      </c>
      <c r="I38" s="25">
        <f t="shared" si="2"/>
        <v>776.81550000000004</v>
      </c>
      <c r="J38" s="25">
        <f t="shared" si="2"/>
        <v>953.40079999999989</v>
      </c>
      <c r="K38" s="25">
        <f t="shared" si="2"/>
        <v>11655.201599999999</v>
      </c>
    </row>
    <row r="39" spans="1:11" ht="15.75" customHeight="1" x14ac:dyDescent="0.25">
      <c r="A39" s="83" t="s">
        <v>267</v>
      </c>
      <c r="B39" s="83"/>
      <c r="C39" s="83"/>
      <c r="D39" s="83"/>
    </row>
    <row r="40" spans="1:11" ht="15.75" customHeight="1" x14ac:dyDescent="0.25">
      <c r="A40" s="83" t="s">
        <v>192</v>
      </c>
      <c r="B40" s="83"/>
      <c r="C40" s="83"/>
      <c r="D40" s="83"/>
    </row>
  </sheetData>
  <mergeCells count="5">
    <mergeCell ref="J1:K1"/>
    <mergeCell ref="B1:C1"/>
    <mergeCell ref="D1:E1"/>
    <mergeCell ref="F1:G1"/>
    <mergeCell ref="H1:I1"/>
  </mergeCells>
  <phoneticPr fontId="20" type="noConversion"/>
  <printOptions horizontalCentered="1" verticalCentered="1"/>
  <pageMargins left="0.75" right="0.28000000000000003" top="0.78" bottom="0.37" header="0.47" footer="0.17"/>
  <pageSetup scale="75" orientation="landscape" r:id="rId1"/>
  <headerFooter alignWithMargins="0">
    <oddHeader xml:space="preserve">&amp;C&amp;"-,Bold"&amp;16&amp;UArea and Production of Citrus Crops 2014-15 (Final)&amp;R&amp;"-,Bold"&amp;11Area in '000 Ha 
Prdouction in '000 MT 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40"/>
  <sheetViews>
    <sheetView zoomScaleSheetLayoutView="10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42" sqref="D42"/>
    </sheetView>
  </sheetViews>
  <sheetFormatPr defaultColWidth="13.7109375" defaultRowHeight="18" customHeight="1" x14ac:dyDescent="0.25"/>
  <cols>
    <col min="1" max="1" width="22.28515625" style="23" customWidth="1"/>
    <col min="2" max="47" width="11" style="23" customWidth="1"/>
    <col min="48" max="48" width="14.140625" style="23" customWidth="1"/>
    <col min="49" max="52" width="11" style="23" customWidth="1"/>
    <col min="53" max="16384" width="13.7109375" style="23"/>
  </cols>
  <sheetData>
    <row r="1" spans="1:59" ht="18" customHeight="1" x14ac:dyDescent="0.25">
      <c r="A1" s="62" t="s">
        <v>188</v>
      </c>
      <c r="B1" s="168" t="s">
        <v>110</v>
      </c>
      <c r="C1" s="168"/>
      <c r="D1" s="167" t="s">
        <v>173</v>
      </c>
      <c r="E1" s="167"/>
      <c r="F1" s="167" t="s">
        <v>174</v>
      </c>
      <c r="G1" s="167"/>
      <c r="H1" s="167" t="s">
        <v>40</v>
      </c>
      <c r="I1" s="167"/>
      <c r="J1" s="167" t="s">
        <v>41</v>
      </c>
      <c r="K1" s="167"/>
      <c r="L1" s="167" t="s">
        <v>111</v>
      </c>
      <c r="M1" s="167"/>
      <c r="N1" s="167" t="s">
        <v>112</v>
      </c>
      <c r="O1" s="167"/>
      <c r="P1" s="167" t="s">
        <v>113</v>
      </c>
      <c r="Q1" s="167"/>
      <c r="R1" s="167" t="s">
        <v>114</v>
      </c>
      <c r="S1" s="167"/>
      <c r="T1" s="170" t="s">
        <v>215</v>
      </c>
      <c r="U1" s="171"/>
      <c r="V1" s="170" t="s">
        <v>216</v>
      </c>
      <c r="W1" s="171"/>
      <c r="X1" s="167" t="s">
        <v>115</v>
      </c>
      <c r="Y1" s="167"/>
      <c r="Z1" s="167" t="s">
        <v>196</v>
      </c>
      <c r="AA1" s="167"/>
      <c r="AB1" s="167" t="s">
        <v>44</v>
      </c>
      <c r="AC1" s="167"/>
      <c r="AD1" s="169" t="s">
        <v>197</v>
      </c>
      <c r="AE1" s="167"/>
      <c r="AF1" s="167" t="s">
        <v>42</v>
      </c>
      <c r="AG1" s="167"/>
      <c r="AH1" s="167" t="s">
        <v>45</v>
      </c>
      <c r="AI1" s="167"/>
      <c r="AJ1" s="167" t="s">
        <v>116</v>
      </c>
      <c r="AK1" s="167"/>
      <c r="AL1" s="167" t="s">
        <v>117</v>
      </c>
      <c r="AM1" s="167"/>
      <c r="AN1" s="167" t="s">
        <v>118</v>
      </c>
      <c r="AO1" s="167"/>
      <c r="AP1" s="167" t="s">
        <v>46</v>
      </c>
      <c r="AQ1" s="167"/>
      <c r="AR1" s="167" t="s">
        <v>43</v>
      </c>
      <c r="AS1" s="167"/>
      <c r="AT1" s="167" t="s">
        <v>119</v>
      </c>
      <c r="AU1" s="167"/>
      <c r="AV1" s="62" t="s">
        <v>217</v>
      </c>
      <c r="AW1" s="167" t="s">
        <v>8</v>
      </c>
      <c r="AX1" s="167"/>
      <c r="AY1" s="167" t="s">
        <v>9</v>
      </c>
      <c r="AZ1" s="167"/>
    </row>
    <row r="2" spans="1:59" s="24" customFormat="1" ht="18" customHeight="1" x14ac:dyDescent="0.25">
      <c r="A2" s="2"/>
      <c r="B2" s="61" t="s">
        <v>47</v>
      </c>
      <c r="C2" s="61" t="s">
        <v>10</v>
      </c>
      <c r="D2" s="61" t="s">
        <v>47</v>
      </c>
      <c r="E2" s="61" t="s">
        <v>10</v>
      </c>
      <c r="F2" s="61" t="s">
        <v>47</v>
      </c>
      <c r="G2" s="61" t="s">
        <v>10</v>
      </c>
      <c r="H2" s="61" t="s">
        <v>47</v>
      </c>
      <c r="I2" s="61" t="s">
        <v>10</v>
      </c>
      <c r="J2" s="61" t="s">
        <v>47</v>
      </c>
      <c r="K2" s="61" t="s">
        <v>10</v>
      </c>
      <c r="L2" s="61" t="s">
        <v>47</v>
      </c>
      <c r="M2" s="61" t="s">
        <v>10</v>
      </c>
      <c r="N2" s="61" t="s">
        <v>47</v>
      </c>
      <c r="O2" s="61" t="s">
        <v>10</v>
      </c>
      <c r="P2" s="61" t="s">
        <v>47</v>
      </c>
      <c r="Q2" s="61" t="s">
        <v>10</v>
      </c>
      <c r="R2" s="61" t="s">
        <v>47</v>
      </c>
      <c r="S2" s="61" t="s">
        <v>10</v>
      </c>
      <c r="T2" s="61" t="s">
        <v>47</v>
      </c>
      <c r="U2" s="61" t="s">
        <v>10</v>
      </c>
      <c r="V2" s="61" t="s">
        <v>47</v>
      </c>
      <c r="W2" s="61" t="s">
        <v>10</v>
      </c>
      <c r="X2" s="61" t="s">
        <v>47</v>
      </c>
      <c r="Y2" s="61" t="s">
        <v>10</v>
      </c>
      <c r="Z2" s="61" t="s">
        <v>47</v>
      </c>
      <c r="AA2" s="61" t="s">
        <v>10</v>
      </c>
      <c r="AB2" s="61" t="s">
        <v>47</v>
      </c>
      <c r="AC2" s="61" t="s">
        <v>10</v>
      </c>
      <c r="AD2" s="61" t="s">
        <v>47</v>
      </c>
      <c r="AE2" s="61" t="s">
        <v>10</v>
      </c>
      <c r="AF2" s="61" t="s">
        <v>47</v>
      </c>
      <c r="AG2" s="61" t="s">
        <v>10</v>
      </c>
      <c r="AH2" s="61" t="s">
        <v>47</v>
      </c>
      <c r="AI2" s="61" t="s">
        <v>10</v>
      </c>
      <c r="AJ2" s="61" t="s">
        <v>47</v>
      </c>
      <c r="AK2" s="61" t="s">
        <v>10</v>
      </c>
      <c r="AL2" s="61" t="s">
        <v>47</v>
      </c>
      <c r="AM2" s="61" t="s">
        <v>10</v>
      </c>
      <c r="AN2" s="61" t="s">
        <v>47</v>
      </c>
      <c r="AO2" s="61" t="s">
        <v>10</v>
      </c>
      <c r="AP2" s="61" t="s">
        <v>47</v>
      </c>
      <c r="AQ2" s="61" t="s">
        <v>10</v>
      </c>
      <c r="AR2" s="61" t="s">
        <v>47</v>
      </c>
      <c r="AS2" s="61" t="s">
        <v>10</v>
      </c>
      <c r="AT2" s="61" t="s">
        <v>47</v>
      </c>
      <c r="AU2" s="61" t="s">
        <v>10</v>
      </c>
      <c r="AV2" s="61" t="s">
        <v>10</v>
      </c>
      <c r="AW2" s="61" t="s">
        <v>47</v>
      </c>
      <c r="AX2" s="61" t="s">
        <v>10</v>
      </c>
      <c r="AY2" s="61" t="s">
        <v>47</v>
      </c>
      <c r="AZ2" s="61" t="s">
        <v>10</v>
      </c>
    </row>
    <row r="3" spans="1:59" ht="18" customHeight="1" x14ac:dyDescent="0.25">
      <c r="A3" s="3" t="s">
        <v>11</v>
      </c>
      <c r="B3" s="7"/>
      <c r="C3" s="7"/>
      <c r="D3" s="7">
        <v>0.499</v>
      </c>
      <c r="E3" s="7">
        <v>2.5979999999999999</v>
      </c>
      <c r="F3" s="7">
        <v>0.253</v>
      </c>
      <c r="G3" s="7">
        <v>1.4359999999999999</v>
      </c>
      <c r="H3" s="7">
        <v>0.58499999999999996</v>
      </c>
      <c r="I3" s="7">
        <v>4.657</v>
      </c>
      <c r="J3" s="7">
        <v>9.5000000000000001E-2</v>
      </c>
      <c r="K3" s="7">
        <v>0.66800000000000004</v>
      </c>
      <c r="L3" s="7"/>
      <c r="M3" s="7"/>
      <c r="N3" s="7"/>
      <c r="O3" s="7"/>
      <c r="P3" s="7">
        <v>0.13300000000000001</v>
      </c>
      <c r="Q3" s="7">
        <v>1.33</v>
      </c>
      <c r="R3" s="7">
        <v>0.26100000000000001</v>
      </c>
      <c r="S3" s="7">
        <v>1.972</v>
      </c>
      <c r="T3" s="7">
        <v>0.218</v>
      </c>
      <c r="U3" s="7">
        <v>0.68100000000000005</v>
      </c>
      <c r="V3" s="7"/>
      <c r="W3" s="7"/>
      <c r="X3" s="7">
        <v>2.5999999999999999E-2</v>
      </c>
      <c r="Y3" s="7">
        <v>0.28899999999999998</v>
      </c>
      <c r="Z3" s="7">
        <v>0.874</v>
      </c>
      <c r="AA3" s="7">
        <v>5.01</v>
      </c>
      <c r="AB3" s="7"/>
      <c r="AC3" s="7"/>
      <c r="AD3" s="7"/>
      <c r="AE3" s="7"/>
      <c r="AF3" s="7"/>
      <c r="AG3" s="7"/>
      <c r="AH3" s="7"/>
      <c r="AI3" s="7"/>
      <c r="AJ3" s="7">
        <v>0.247</v>
      </c>
      <c r="AK3" s="7">
        <v>1.694</v>
      </c>
      <c r="AL3" s="7">
        <v>0.27</v>
      </c>
      <c r="AM3" s="7">
        <v>3.0590000000000002</v>
      </c>
      <c r="AN3" s="7">
        <v>0.14899999999999999</v>
      </c>
      <c r="AO3" s="7">
        <v>2.6619999999999999</v>
      </c>
      <c r="AP3" s="7">
        <v>0.21199999999999999</v>
      </c>
      <c r="AQ3" s="7">
        <v>3.2650000000000001</v>
      </c>
      <c r="AR3" s="7">
        <v>0.16200000000000001</v>
      </c>
      <c r="AS3" s="7">
        <v>0.75700000000000001</v>
      </c>
      <c r="AT3" s="7">
        <v>7.0000000000000007E-2</v>
      </c>
      <c r="AU3" s="7">
        <v>0.93799999999999994</v>
      </c>
      <c r="AV3" s="7"/>
      <c r="AW3" s="7">
        <v>2.67</v>
      </c>
      <c r="AX3" s="7">
        <v>19.855</v>
      </c>
      <c r="AY3" s="25">
        <f>B3+D3+F3+H3+J3+L3+N3+P3+R3+T3+V3+X3+Z3+AB3+AD3+AF3+AH3+AJ3+AL3+AN3+AP3+AR3+AT3+AW3</f>
        <v>6.7240000000000002</v>
      </c>
      <c r="AZ3" s="25">
        <f>C3+E3+G3+I3+K3+M3+O3+Q3+S3+U3+W3+Y3+AA3+AC3+AE3+AG3+AI3+AK3+AM3+AO3+AQ3+AS3+AU3+AX3+AV3</f>
        <v>50.870999999999995</v>
      </c>
      <c r="BA3" s="24"/>
      <c r="BB3" s="24"/>
      <c r="BC3" s="24"/>
      <c r="BD3" s="24"/>
      <c r="BE3" s="24"/>
      <c r="BF3" s="24"/>
      <c r="BG3" s="24"/>
    </row>
    <row r="4" spans="1:59" ht="18" customHeight="1" x14ac:dyDescent="0.25">
      <c r="A4" s="3" t="s">
        <v>12</v>
      </c>
      <c r="B4" s="7">
        <v>14.536</v>
      </c>
      <c r="C4" s="7">
        <v>115.20399999999999</v>
      </c>
      <c r="D4" s="7">
        <v>6.3739999999999997</v>
      </c>
      <c r="E4" s="7">
        <v>70.572000000000003</v>
      </c>
      <c r="F4" s="7">
        <v>2.3140000000000001</v>
      </c>
      <c r="G4" s="7">
        <v>25.757999999999999</v>
      </c>
      <c r="H4" s="7">
        <v>17.178000000000001</v>
      </c>
      <c r="I4" s="7">
        <v>378.98700000000002</v>
      </c>
      <c r="J4" s="7">
        <v>1.8220000000000001</v>
      </c>
      <c r="K4" s="7">
        <v>34.533000000000001</v>
      </c>
      <c r="L4" s="7">
        <v>0.104</v>
      </c>
      <c r="M4" s="7">
        <v>1.4450000000000001</v>
      </c>
      <c r="N4" s="7">
        <v>2.181</v>
      </c>
      <c r="O4" s="7">
        <v>34.715000000000003</v>
      </c>
      <c r="P4" s="7">
        <v>2.8330000000000002</v>
      </c>
      <c r="Q4" s="7">
        <v>38.658000000000001</v>
      </c>
      <c r="R4" s="7">
        <v>4.7370000000000001</v>
      </c>
      <c r="S4" s="7">
        <v>94.165000000000006</v>
      </c>
      <c r="T4" s="7">
        <v>13.394</v>
      </c>
      <c r="U4" s="7">
        <v>232.167</v>
      </c>
      <c r="V4" s="7">
        <v>3.2989999999999999</v>
      </c>
      <c r="W4" s="7">
        <v>181.63</v>
      </c>
      <c r="X4" s="7">
        <v>6.1109999999999998</v>
      </c>
      <c r="Y4" s="7">
        <v>144.37799999999999</v>
      </c>
      <c r="Z4" s="7">
        <v>18.588999999999999</v>
      </c>
      <c r="AA4" s="7">
        <v>211.15799999999999</v>
      </c>
      <c r="AB4" s="8">
        <v>38.372</v>
      </c>
      <c r="AC4" s="8">
        <v>575.58000000000004</v>
      </c>
      <c r="AD4" s="7">
        <v>2.548</v>
      </c>
      <c r="AE4" s="7">
        <v>139.745</v>
      </c>
      <c r="AF4" s="7">
        <v>2.8000000000000001E-2</v>
      </c>
      <c r="AG4" s="7">
        <v>0.1</v>
      </c>
      <c r="AH4" s="8">
        <v>2.6419999999999999</v>
      </c>
      <c r="AI4" s="8">
        <v>43.932000000000002</v>
      </c>
      <c r="AJ4" s="7">
        <v>0.70099999999999996</v>
      </c>
      <c r="AK4" s="7">
        <v>7.6139999999999999</v>
      </c>
      <c r="AL4" s="7">
        <v>0.188</v>
      </c>
      <c r="AM4" s="7">
        <v>4.0670000000000002</v>
      </c>
      <c r="AN4" s="7">
        <v>0.79100000000000004</v>
      </c>
      <c r="AO4" s="7">
        <v>13.295999999999999</v>
      </c>
      <c r="AP4" s="7">
        <v>16.977</v>
      </c>
      <c r="AQ4" s="7">
        <v>258.02</v>
      </c>
      <c r="AR4" s="27">
        <v>54.222999999999999</v>
      </c>
      <c r="AS4" s="27">
        <v>1473.5419999999999</v>
      </c>
      <c r="AT4" s="7">
        <v>8.9090000000000007</v>
      </c>
      <c r="AU4" s="7">
        <v>249.65</v>
      </c>
      <c r="AV4" s="7"/>
      <c r="AW4" s="7">
        <v>23.332000000000001</v>
      </c>
      <c r="AX4" s="7">
        <v>263.66800000000001</v>
      </c>
      <c r="AY4" s="25">
        <f t="shared" ref="AY4:AY37" si="0">B4+D4+F4+H4+J4+L4+N4+P4+R4+T4+V4+X4+Z4+AB4+AD4+AF4+AH4+AJ4+AL4+AN4+AP4+AR4+AT4+AW4</f>
        <v>242.18299999999994</v>
      </c>
      <c r="AZ4" s="25">
        <f t="shared" ref="AZ4:AZ37" si="1">C4+E4+G4+I4+K4+M4+O4+Q4+S4+U4+W4+Y4+AA4+AC4+AE4+AG4+AI4+AK4+AM4+AO4+AQ4+AS4+AU4+AX4+AV4</f>
        <v>4592.5839999999989</v>
      </c>
    </row>
    <row r="5" spans="1:59" ht="18" customHeight="1" x14ac:dyDescent="0.25">
      <c r="A5" s="26" t="s">
        <v>109</v>
      </c>
      <c r="B5" s="7"/>
      <c r="C5" s="7"/>
      <c r="D5" s="7"/>
      <c r="E5" s="7"/>
      <c r="F5" s="7"/>
      <c r="G5" s="7"/>
      <c r="H5" s="7"/>
      <c r="I5" s="7"/>
      <c r="J5" s="7">
        <v>0.5</v>
      </c>
      <c r="K5" s="7">
        <v>12</v>
      </c>
      <c r="L5" s="7"/>
      <c r="M5" s="7"/>
      <c r="N5" s="7"/>
      <c r="O5" s="7"/>
      <c r="P5" s="7">
        <v>0.3</v>
      </c>
      <c r="Q5" s="7">
        <v>10</v>
      </c>
      <c r="R5" s="7"/>
      <c r="S5" s="7"/>
      <c r="T5" s="7"/>
      <c r="U5" s="7"/>
      <c r="V5" s="7"/>
      <c r="W5" s="7"/>
      <c r="X5" s="7"/>
      <c r="Y5" s="7"/>
      <c r="Z5" s="7"/>
      <c r="AA5" s="7"/>
      <c r="AB5" s="8"/>
      <c r="AC5" s="8"/>
      <c r="AD5" s="7"/>
      <c r="AE5" s="7"/>
      <c r="AF5" s="7"/>
      <c r="AG5" s="7"/>
      <c r="AH5" s="8"/>
      <c r="AI5" s="8"/>
      <c r="AJ5" s="7"/>
      <c r="AK5" s="7"/>
      <c r="AL5" s="7"/>
      <c r="AM5" s="7"/>
      <c r="AN5" s="7"/>
      <c r="AO5" s="7"/>
      <c r="AP5" s="7"/>
      <c r="AQ5" s="7"/>
      <c r="AR5" s="7">
        <v>0.5</v>
      </c>
      <c r="AS5" s="7">
        <v>14</v>
      </c>
      <c r="AT5" s="7"/>
      <c r="AU5" s="7"/>
      <c r="AV5" s="7"/>
      <c r="AW5" s="7">
        <v>0.4</v>
      </c>
      <c r="AX5" s="7">
        <v>5</v>
      </c>
      <c r="AY5" s="25">
        <f t="shared" si="0"/>
        <v>1.7000000000000002</v>
      </c>
      <c r="AZ5" s="25">
        <f t="shared" si="1"/>
        <v>41</v>
      </c>
    </row>
    <row r="6" spans="1:59" ht="18" customHeight="1" x14ac:dyDescent="0.25">
      <c r="A6" s="3" t="s">
        <v>14</v>
      </c>
      <c r="B6" s="7"/>
      <c r="C6" s="7"/>
      <c r="D6" s="7">
        <v>5.3220000000000001</v>
      </c>
      <c r="E6" s="7">
        <v>50.957999999999998</v>
      </c>
      <c r="F6" s="7">
        <v>2.87</v>
      </c>
      <c r="G6" s="7">
        <v>50.313000000000002</v>
      </c>
      <c r="H6" s="7">
        <v>17.315999999999999</v>
      </c>
      <c r="I6" s="7">
        <v>286.40600000000001</v>
      </c>
      <c r="J6" s="7">
        <v>32.201999999999998</v>
      </c>
      <c r="K6" s="7">
        <v>673.34500000000003</v>
      </c>
      <c r="L6" s="7">
        <v>0.38400000000000001</v>
      </c>
      <c r="M6" s="7">
        <v>2.6389999999999998</v>
      </c>
      <c r="N6" s="7">
        <v>4.3</v>
      </c>
      <c r="O6" s="7">
        <v>68.563000000000002</v>
      </c>
      <c r="P6" s="7">
        <v>22.143999999999998</v>
      </c>
      <c r="Q6" s="7">
        <v>466.37200000000001</v>
      </c>
      <c r="R6" s="7">
        <v>6.7220000000000004</v>
      </c>
      <c r="S6" s="7">
        <v>71.992000000000004</v>
      </c>
      <c r="T6" s="7"/>
      <c r="U6" s="7"/>
      <c r="V6" s="7"/>
      <c r="W6" s="7"/>
      <c r="X6" s="7"/>
      <c r="Y6" s="7"/>
      <c r="Z6" s="7">
        <v>11.867000000000001</v>
      </c>
      <c r="AA6" s="7">
        <v>185.71799999999999</v>
      </c>
      <c r="AB6" s="8">
        <v>8.2829999999999995</v>
      </c>
      <c r="AC6" s="8">
        <v>32.420999999999999</v>
      </c>
      <c r="AD6" s="7"/>
      <c r="AE6" s="7"/>
      <c r="AF6" s="7">
        <v>29.952000000000002</v>
      </c>
      <c r="AG6" s="7">
        <v>27.675999999999998</v>
      </c>
      <c r="AH6" s="8">
        <v>99.177000000000007</v>
      </c>
      <c r="AI6" s="8">
        <v>1706.0429999999999</v>
      </c>
      <c r="AJ6" s="7">
        <v>17.521999999999998</v>
      </c>
      <c r="AK6" s="7">
        <v>273.709</v>
      </c>
      <c r="AL6" s="7"/>
      <c r="AM6" s="7"/>
      <c r="AN6" s="7">
        <v>6.2130000000000001</v>
      </c>
      <c r="AO6" s="7">
        <v>32.857999999999997</v>
      </c>
      <c r="AP6" s="7">
        <v>3.3010000000000002</v>
      </c>
      <c r="AQ6" s="7">
        <v>30.09</v>
      </c>
      <c r="AR6" s="7">
        <v>17.815000000000001</v>
      </c>
      <c r="AS6" s="7">
        <v>418.02800000000002</v>
      </c>
      <c r="AT6" s="7">
        <v>1.069</v>
      </c>
      <c r="AU6" s="7">
        <v>16.459</v>
      </c>
      <c r="AV6" s="7"/>
      <c r="AW6" s="7">
        <v>2.8050000000000002</v>
      </c>
      <c r="AX6" s="7">
        <v>76.141999999999996</v>
      </c>
      <c r="AY6" s="25">
        <f t="shared" si="0"/>
        <v>289.26400000000001</v>
      </c>
      <c r="AZ6" s="25">
        <f t="shared" si="1"/>
        <v>4469.732</v>
      </c>
    </row>
    <row r="7" spans="1:59" ht="18" customHeight="1" x14ac:dyDescent="0.25">
      <c r="A7" s="3" t="s">
        <v>15</v>
      </c>
      <c r="B7" s="7">
        <v>17.268000000000001</v>
      </c>
      <c r="C7" s="7">
        <v>109.303</v>
      </c>
      <c r="D7" s="7">
        <v>9.7850000000000001</v>
      </c>
      <c r="E7" s="7">
        <v>67.25</v>
      </c>
      <c r="F7" s="7">
        <v>40.268000000000001</v>
      </c>
      <c r="G7" s="7">
        <v>631.54100000000005</v>
      </c>
      <c r="H7" s="7">
        <v>57.597999999999999</v>
      </c>
      <c r="I7" s="7">
        <v>1141.5709999999999</v>
      </c>
      <c r="J7" s="7">
        <v>39.003</v>
      </c>
      <c r="K7" s="7">
        <v>695.33100000000002</v>
      </c>
      <c r="L7" s="7"/>
      <c r="M7" s="7"/>
      <c r="N7" s="7">
        <v>9.2669999999999995</v>
      </c>
      <c r="O7" s="7">
        <v>53.454000000000001</v>
      </c>
      <c r="P7" s="7">
        <v>65.701999999999998</v>
      </c>
      <c r="Q7" s="7">
        <v>1003.554</v>
      </c>
      <c r="R7" s="7">
        <v>4.0170000000000003</v>
      </c>
      <c r="S7" s="7">
        <v>67.034999999999997</v>
      </c>
      <c r="T7" s="7">
        <v>44.817</v>
      </c>
      <c r="U7" s="7">
        <v>418.33199999999999</v>
      </c>
      <c r="V7" s="7">
        <v>0.76900000000000002</v>
      </c>
      <c r="W7" s="7">
        <v>36.158999999999999</v>
      </c>
      <c r="X7" s="7">
        <v>1.464</v>
      </c>
      <c r="Y7" s="7">
        <v>12.815</v>
      </c>
      <c r="Z7" s="7">
        <v>57.706000000000003</v>
      </c>
      <c r="AA7" s="7">
        <v>762.9</v>
      </c>
      <c r="AB7" s="8">
        <v>54.295999999999999</v>
      </c>
      <c r="AC7" s="8">
        <v>1247.3119999999999</v>
      </c>
      <c r="AD7" s="7">
        <v>6.5910000000000002</v>
      </c>
      <c r="AE7" s="7">
        <v>69.715000000000003</v>
      </c>
      <c r="AF7" s="7">
        <v>10.243</v>
      </c>
      <c r="AG7" s="7">
        <v>65.846999999999994</v>
      </c>
      <c r="AH7" s="8">
        <v>318.98899999999998</v>
      </c>
      <c r="AI7" s="8">
        <v>6345.5550000000003</v>
      </c>
      <c r="AJ7" s="7">
        <v>24.103000000000002</v>
      </c>
      <c r="AK7" s="7">
        <v>246.54900000000001</v>
      </c>
      <c r="AL7" s="7">
        <v>0.57899999999999996</v>
      </c>
      <c r="AM7" s="7">
        <v>12.648</v>
      </c>
      <c r="AN7" s="7">
        <v>1.03</v>
      </c>
      <c r="AO7" s="7">
        <v>8.34</v>
      </c>
      <c r="AP7" s="7"/>
      <c r="AQ7" s="7"/>
      <c r="AR7" s="7">
        <v>47.731999999999999</v>
      </c>
      <c r="AS7" s="7">
        <v>1046.4349999999999</v>
      </c>
      <c r="AT7" s="7">
        <v>1.992</v>
      </c>
      <c r="AU7" s="7">
        <v>29.88</v>
      </c>
      <c r="AV7" s="7">
        <v>6.3E-2</v>
      </c>
      <c r="AW7" s="7">
        <v>28.777000000000001</v>
      </c>
      <c r="AX7" s="7">
        <v>395.55599999999998</v>
      </c>
      <c r="AY7" s="25">
        <f t="shared" si="0"/>
        <v>841.99599999999975</v>
      </c>
      <c r="AZ7" s="25">
        <f t="shared" si="1"/>
        <v>14467.144999999999</v>
      </c>
    </row>
    <row r="8" spans="1:59" ht="18" customHeight="1" x14ac:dyDescent="0.25">
      <c r="A8" s="3" t="s">
        <v>54</v>
      </c>
      <c r="B8" s="7">
        <v>6.2789999999999999</v>
      </c>
      <c r="C8" s="7">
        <v>54.728999999999999</v>
      </c>
      <c r="D8" s="7">
        <v>9.5129999999999999</v>
      </c>
      <c r="E8" s="7">
        <v>123.69499999999999</v>
      </c>
      <c r="F8" s="7">
        <v>11.98</v>
      </c>
      <c r="G8" s="7">
        <v>227.97800000000001</v>
      </c>
      <c r="H8" s="7">
        <v>35.384</v>
      </c>
      <c r="I8" s="7">
        <v>633.34400000000005</v>
      </c>
      <c r="J8" s="7">
        <v>19.53</v>
      </c>
      <c r="K8" s="7">
        <v>359.57600000000002</v>
      </c>
      <c r="L8" s="7"/>
      <c r="M8" s="7"/>
      <c r="N8" s="7">
        <v>1.3520000000000001</v>
      </c>
      <c r="O8" s="7">
        <v>20.375</v>
      </c>
      <c r="P8" s="7">
        <v>22.637</v>
      </c>
      <c r="Q8" s="7">
        <v>422.12400000000002</v>
      </c>
      <c r="R8" s="7"/>
      <c r="S8" s="7"/>
      <c r="T8" s="7"/>
      <c r="U8" s="7"/>
      <c r="V8" s="7"/>
      <c r="W8" s="7"/>
      <c r="X8" s="7">
        <v>1.48</v>
      </c>
      <c r="Y8" s="7">
        <v>11.840999999999999</v>
      </c>
      <c r="Z8" s="7">
        <v>29.349</v>
      </c>
      <c r="AA8" s="7">
        <v>333.12599999999998</v>
      </c>
      <c r="AB8" s="8">
        <v>20.059999999999999</v>
      </c>
      <c r="AC8" s="8">
        <v>308.09500000000003</v>
      </c>
      <c r="AD8" s="7">
        <v>2.5449999999999999</v>
      </c>
      <c r="AE8" s="7">
        <v>31.504999999999999</v>
      </c>
      <c r="AF8" s="7"/>
      <c r="AG8" s="7"/>
      <c r="AH8" s="8">
        <v>38.914999999999999</v>
      </c>
      <c r="AI8" s="8">
        <v>600.93299999999999</v>
      </c>
      <c r="AJ8" s="7">
        <v>10.393000000000001</v>
      </c>
      <c r="AK8" s="7">
        <v>190.23500000000001</v>
      </c>
      <c r="AL8" s="7">
        <v>5.2629999999999999</v>
      </c>
      <c r="AM8" s="7">
        <v>70</v>
      </c>
      <c r="AN8" s="7">
        <v>3.552</v>
      </c>
      <c r="AO8" s="7">
        <v>37.802</v>
      </c>
      <c r="AP8" s="7"/>
      <c r="AQ8" s="7"/>
      <c r="AR8" s="7">
        <v>52.892000000000003</v>
      </c>
      <c r="AS8" s="7">
        <v>868.60199999999998</v>
      </c>
      <c r="AT8" s="7">
        <v>2.4910000000000001</v>
      </c>
      <c r="AU8" s="7">
        <v>22.29</v>
      </c>
      <c r="AV8" s="7"/>
      <c r="AW8" s="7">
        <v>151.44999999999999</v>
      </c>
      <c r="AX8" s="7">
        <v>1496.0719999999999</v>
      </c>
      <c r="AY8" s="25">
        <f t="shared" si="0"/>
        <v>425.065</v>
      </c>
      <c r="AZ8" s="25">
        <f t="shared" si="1"/>
        <v>5812.3220000000001</v>
      </c>
    </row>
    <row r="9" spans="1:59" ht="18" customHeight="1" x14ac:dyDescent="0.25">
      <c r="A9" s="3" t="s">
        <v>16</v>
      </c>
      <c r="B9" s="7"/>
      <c r="C9" s="7"/>
      <c r="D9" s="7"/>
      <c r="E9" s="7"/>
      <c r="F9" s="7"/>
      <c r="G9" s="7"/>
      <c r="H9" s="7">
        <v>0.5</v>
      </c>
      <c r="I9" s="7">
        <v>2.2000000000000002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/>
      <c r="AI9" s="8"/>
      <c r="AJ9" s="7"/>
      <c r="AK9" s="7"/>
      <c r="AL9" s="7"/>
      <c r="AM9" s="7"/>
      <c r="AN9" s="7"/>
      <c r="AO9" s="7"/>
      <c r="AP9" s="7"/>
      <c r="AQ9" s="7"/>
      <c r="AR9" s="7">
        <v>0.4</v>
      </c>
      <c r="AS9" s="7">
        <v>1.8</v>
      </c>
      <c r="AT9" s="7"/>
      <c r="AU9" s="7"/>
      <c r="AV9" s="7"/>
      <c r="AW9" s="7">
        <v>0.2</v>
      </c>
      <c r="AX9" s="7">
        <v>1.5</v>
      </c>
      <c r="AY9" s="25">
        <f t="shared" si="0"/>
        <v>1.1000000000000001</v>
      </c>
      <c r="AZ9" s="25">
        <f t="shared" si="1"/>
        <v>5.5</v>
      </c>
    </row>
    <row r="10" spans="1:59" ht="18" customHeight="1" x14ac:dyDescent="0.25">
      <c r="A10" s="3" t="s">
        <v>17</v>
      </c>
      <c r="B10" s="7">
        <v>3.3000000000000002E-2</v>
      </c>
      <c r="C10" s="7">
        <v>0.26400000000000001</v>
      </c>
      <c r="D10" s="7">
        <v>1.2999999999999999E-2</v>
      </c>
      <c r="E10" s="7">
        <v>0.78500000000000003</v>
      </c>
      <c r="F10" s="7">
        <v>1.2999999999999999E-2</v>
      </c>
      <c r="G10" s="7">
        <v>0.71399999999999997</v>
      </c>
      <c r="H10" s="7">
        <v>4.0000000000000001E-3</v>
      </c>
      <c r="I10" s="7">
        <v>2.4E-2</v>
      </c>
      <c r="J10" s="7">
        <v>3.0000000000000001E-3</v>
      </c>
      <c r="K10" s="7">
        <v>0.18</v>
      </c>
      <c r="L10" s="7"/>
      <c r="M10" s="7"/>
      <c r="N10" s="7"/>
      <c r="O10" s="7"/>
      <c r="P10" s="7"/>
      <c r="Q10" s="7"/>
      <c r="R10" s="7">
        <v>2E-3</v>
      </c>
      <c r="S10" s="7">
        <v>1.4</v>
      </c>
      <c r="T10" s="7">
        <v>3.0000000000000001E-3</v>
      </c>
      <c r="U10" s="7">
        <v>0.45</v>
      </c>
      <c r="V10" s="7"/>
      <c r="W10" s="7"/>
      <c r="X10" s="7"/>
      <c r="Y10" s="7"/>
      <c r="Z10" s="7">
        <v>2E-3</v>
      </c>
      <c r="AA10" s="7">
        <v>0.03</v>
      </c>
      <c r="AB10" s="8"/>
      <c r="AC10" s="8"/>
      <c r="AD10" s="7"/>
      <c r="AE10" s="7"/>
      <c r="AF10" s="7"/>
      <c r="AG10" s="7"/>
      <c r="AH10" s="8"/>
      <c r="AI10" s="8"/>
      <c r="AJ10" s="7">
        <v>2E-3</v>
      </c>
      <c r="AK10" s="7">
        <v>2.4E-2</v>
      </c>
      <c r="AL10" s="7"/>
      <c r="AM10" s="7"/>
      <c r="AN10" s="7"/>
      <c r="AO10" s="7"/>
      <c r="AP10" s="7"/>
      <c r="AQ10" s="7"/>
      <c r="AR10" s="7">
        <v>2E-3</v>
      </c>
      <c r="AS10" s="7">
        <v>0.04</v>
      </c>
      <c r="AT10" s="7"/>
      <c r="AU10" s="7"/>
      <c r="AV10" s="7">
        <v>1E-3</v>
      </c>
      <c r="AW10" s="7"/>
      <c r="AX10" s="7"/>
      <c r="AY10" s="25">
        <f t="shared" si="0"/>
        <v>7.7000000000000013E-2</v>
      </c>
      <c r="AZ10" s="25">
        <f t="shared" si="1"/>
        <v>3.9119999999999999</v>
      </c>
    </row>
    <row r="11" spans="1:59" ht="18" customHeight="1" x14ac:dyDescent="0.25">
      <c r="A11" s="3" t="s">
        <v>18</v>
      </c>
      <c r="B11" s="7"/>
      <c r="C11" s="7"/>
      <c r="D11" s="7">
        <v>0.67300000000000004</v>
      </c>
      <c r="E11" s="7">
        <v>11.287000000000001</v>
      </c>
      <c r="F11" s="7">
        <v>1.0680000000000001</v>
      </c>
      <c r="G11" s="7">
        <v>17.512</v>
      </c>
      <c r="H11" s="7">
        <v>0.92300000000000004</v>
      </c>
      <c r="I11" s="7">
        <v>15.263</v>
      </c>
      <c r="J11" s="7"/>
      <c r="K11" s="7"/>
      <c r="L11" s="7"/>
      <c r="M11" s="7"/>
      <c r="N11" s="7">
        <v>1.202</v>
      </c>
      <c r="O11" s="7">
        <v>26.001999999999999</v>
      </c>
      <c r="P11" s="7">
        <v>2.698</v>
      </c>
      <c r="Q11" s="7">
        <v>43.530999999999999</v>
      </c>
      <c r="R11" s="7">
        <v>0.64400000000000002</v>
      </c>
      <c r="S11" s="7">
        <v>9.2769999999999992</v>
      </c>
      <c r="T11" s="7"/>
      <c r="U11" s="7"/>
      <c r="V11" s="7"/>
      <c r="W11" s="7"/>
      <c r="X11" s="7"/>
      <c r="Y11" s="7"/>
      <c r="Z11" s="7">
        <v>1.2</v>
      </c>
      <c r="AA11" s="7">
        <v>18.477</v>
      </c>
      <c r="AB11" s="8">
        <v>0.80700000000000005</v>
      </c>
      <c r="AC11" s="8">
        <v>18.045000000000002</v>
      </c>
      <c r="AD11" s="7"/>
      <c r="AE11" s="7"/>
      <c r="AF11" s="7">
        <v>0.45</v>
      </c>
      <c r="AG11" s="7">
        <v>6.5620000000000003</v>
      </c>
      <c r="AH11" s="8">
        <v>0.436</v>
      </c>
      <c r="AI11" s="8">
        <v>12.276</v>
      </c>
      <c r="AJ11" s="7">
        <v>2.5110000000000001</v>
      </c>
      <c r="AK11" s="7">
        <v>46.244</v>
      </c>
      <c r="AL11" s="7"/>
      <c r="AM11" s="7"/>
      <c r="AN11" s="7"/>
      <c r="AO11" s="7"/>
      <c r="AP11" s="7"/>
      <c r="AQ11" s="7"/>
      <c r="AR11" s="7">
        <v>0.88700000000000001</v>
      </c>
      <c r="AS11" s="7">
        <v>13.798999999999999</v>
      </c>
      <c r="AT11" s="7"/>
      <c r="AU11" s="7"/>
      <c r="AV11" s="7"/>
      <c r="AW11" s="7">
        <v>9.3379999999999992</v>
      </c>
      <c r="AX11" s="7">
        <v>153.626</v>
      </c>
      <c r="AY11" s="25">
        <f t="shared" si="0"/>
        <v>22.836999999999996</v>
      </c>
      <c r="AZ11" s="25">
        <f t="shared" si="1"/>
        <v>391.90100000000007</v>
      </c>
    </row>
    <row r="12" spans="1:59" ht="18" customHeight="1" x14ac:dyDescent="0.25">
      <c r="A12" s="3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/>
      <c r="AC12" s="8"/>
      <c r="AD12" s="7"/>
      <c r="AE12" s="7"/>
      <c r="AF12" s="7"/>
      <c r="AG12" s="7"/>
      <c r="AH12" s="8"/>
      <c r="AI12" s="8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>
        <v>7.1879999999999997</v>
      </c>
      <c r="AX12" s="7">
        <v>82.001000000000005</v>
      </c>
      <c r="AY12" s="25">
        <f t="shared" si="0"/>
        <v>7.1879999999999997</v>
      </c>
      <c r="AZ12" s="25">
        <f t="shared" si="1"/>
        <v>82.001000000000005</v>
      </c>
    </row>
    <row r="13" spans="1:59" ht="18" customHeight="1" x14ac:dyDescent="0.25">
      <c r="A13" s="3" t="s">
        <v>20</v>
      </c>
      <c r="B13" s="7">
        <v>72.221999999999994</v>
      </c>
      <c r="C13" s="7">
        <v>743.38800000000003</v>
      </c>
      <c r="D13" s="7"/>
      <c r="E13" s="7"/>
      <c r="F13" s="7"/>
      <c r="G13" s="7"/>
      <c r="H13" s="7">
        <v>74.013999999999996</v>
      </c>
      <c r="I13" s="7">
        <v>1469.6469999999999</v>
      </c>
      <c r="J13" s="7">
        <v>30.029</v>
      </c>
      <c r="K13" s="7">
        <v>654.52300000000002</v>
      </c>
      <c r="L13" s="7"/>
      <c r="M13" s="7"/>
      <c r="N13" s="7"/>
      <c r="O13" s="7"/>
      <c r="P13" s="7">
        <v>24.89</v>
      </c>
      <c r="Q13" s="7">
        <v>540.95399999999995</v>
      </c>
      <c r="R13" s="7"/>
      <c r="S13" s="7"/>
      <c r="T13" s="7"/>
      <c r="U13" s="7"/>
      <c r="V13" s="7"/>
      <c r="W13" s="7"/>
      <c r="X13" s="7"/>
      <c r="Y13" s="7"/>
      <c r="Z13" s="7">
        <v>73.843000000000004</v>
      </c>
      <c r="AA13" s="7">
        <v>857.48699999999997</v>
      </c>
      <c r="AB13" s="8">
        <v>44.3</v>
      </c>
      <c r="AC13" s="8">
        <v>1126.549</v>
      </c>
      <c r="AD13" s="7"/>
      <c r="AE13" s="7"/>
      <c r="AF13" s="7"/>
      <c r="AG13" s="7"/>
      <c r="AH13" s="8">
        <v>98.2</v>
      </c>
      <c r="AI13" s="8">
        <v>2964.1</v>
      </c>
      <c r="AJ13" s="7"/>
      <c r="AK13" s="7"/>
      <c r="AL13" s="7"/>
      <c r="AM13" s="7"/>
      <c r="AN13" s="7"/>
      <c r="AO13" s="7"/>
      <c r="AP13" s="7"/>
      <c r="AQ13" s="7"/>
      <c r="AR13" s="7">
        <v>44.57</v>
      </c>
      <c r="AS13" s="7">
        <v>1259.01</v>
      </c>
      <c r="AT13" s="7"/>
      <c r="AU13" s="7"/>
      <c r="AV13" s="7"/>
      <c r="AW13" s="7">
        <v>141.04</v>
      </c>
      <c r="AX13" s="7">
        <v>2245.5720000000001</v>
      </c>
      <c r="AY13" s="25">
        <f t="shared" si="0"/>
        <v>603.10799999999995</v>
      </c>
      <c r="AZ13" s="25">
        <f t="shared" si="1"/>
        <v>11861.23</v>
      </c>
    </row>
    <row r="14" spans="1:59" ht="18" customHeight="1" x14ac:dyDescent="0.25">
      <c r="A14" s="3" t="s">
        <v>21</v>
      </c>
      <c r="B14" s="7"/>
      <c r="C14" s="7"/>
      <c r="D14" s="7"/>
      <c r="E14" s="7"/>
      <c r="F14" s="7"/>
      <c r="G14" s="7"/>
      <c r="H14" s="7">
        <v>18.521999999999998</v>
      </c>
      <c r="I14" s="7">
        <v>355.995</v>
      </c>
      <c r="J14" s="7">
        <v>16.667000000000002</v>
      </c>
      <c r="K14" s="7">
        <v>256.197</v>
      </c>
      <c r="L14" s="7"/>
      <c r="N14" s="23">
        <v>20.588000000000001</v>
      </c>
      <c r="O14" s="7">
        <v>265.47300000000001</v>
      </c>
      <c r="P14" s="7">
        <v>30.228000000000002</v>
      </c>
      <c r="Q14" s="7">
        <v>475.66599999999994</v>
      </c>
      <c r="R14" s="7"/>
      <c r="S14" s="7"/>
      <c r="T14" s="7">
        <v>18.622</v>
      </c>
      <c r="U14" s="7">
        <v>115.51799999999999</v>
      </c>
      <c r="V14" s="7"/>
      <c r="W14" s="7"/>
      <c r="X14" s="7"/>
      <c r="Y14" s="7"/>
      <c r="Z14" s="7">
        <v>19.841000000000001</v>
      </c>
      <c r="AA14" s="7">
        <v>165.483</v>
      </c>
      <c r="AB14" s="8">
        <v>28.687999999999999</v>
      </c>
      <c r="AC14" s="8">
        <v>640.21500000000003</v>
      </c>
      <c r="AD14" s="7"/>
      <c r="AE14" s="7"/>
      <c r="AF14" s="7">
        <v>14.702999999999999</v>
      </c>
      <c r="AG14" s="7">
        <v>104.30000000000001</v>
      </c>
      <c r="AH14" s="8">
        <v>30.134</v>
      </c>
      <c r="AI14" s="8">
        <v>722.58400000000006</v>
      </c>
      <c r="AJ14" s="7">
        <v>28.632000000000001</v>
      </c>
      <c r="AK14" s="7">
        <v>407.38300000000004</v>
      </c>
      <c r="AL14" s="7"/>
      <c r="AM14" s="7"/>
      <c r="AN14" s="7"/>
      <c r="AO14" s="7"/>
      <c r="AP14" s="7"/>
      <c r="AQ14" s="7"/>
      <c r="AR14" s="7">
        <v>27.245000000000001</v>
      </c>
      <c r="AS14" s="7">
        <v>666.56399999999996</v>
      </c>
      <c r="AT14" s="7"/>
      <c r="AU14" s="7"/>
      <c r="AV14" s="7"/>
      <c r="AW14" s="7">
        <v>105.52500000000001</v>
      </c>
      <c r="AX14" s="7">
        <v>1130.212</v>
      </c>
      <c r="AY14" s="25">
        <f t="shared" si="0"/>
        <v>359.39499999999998</v>
      </c>
      <c r="AZ14" s="25">
        <f t="shared" si="1"/>
        <v>5305.59</v>
      </c>
    </row>
    <row r="15" spans="1:59" ht="18" customHeight="1" x14ac:dyDescent="0.25">
      <c r="A15" s="3" t="s">
        <v>22</v>
      </c>
      <c r="B15" s="7">
        <v>3.44</v>
      </c>
      <c r="C15" s="7">
        <v>40.880000000000003</v>
      </c>
      <c r="D15" s="7"/>
      <c r="E15" s="7"/>
      <c r="F15" s="7"/>
      <c r="G15" s="7"/>
      <c r="H15" s="7">
        <v>1.08</v>
      </c>
      <c r="I15" s="7">
        <v>23.52</v>
      </c>
      <c r="J15" s="7">
        <v>4.3899999999999997</v>
      </c>
      <c r="K15" s="7">
        <v>149.66999999999999</v>
      </c>
      <c r="L15" s="7">
        <v>2.0699999999999998</v>
      </c>
      <c r="M15" s="7">
        <v>34.130000000000003</v>
      </c>
      <c r="N15" s="7">
        <v>0.27</v>
      </c>
      <c r="O15" s="7">
        <v>4.8499999999999996</v>
      </c>
      <c r="P15" s="7">
        <v>4.3499999999999996</v>
      </c>
      <c r="Q15" s="7">
        <v>101.71</v>
      </c>
      <c r="R15" s="7"/>
      <c r="S15" s="7"/>
      <c r="T15" s="7">
        <v>1.03</v>
      </c>
      <c r="U15" s="7">
        <v>12.56</v>
      </c>
      <c r="V15" s="7"/>
      <c r="W15" s="7"/>
      <c r="X15" s="7"/>
      <c r="Y15" s="7"/>
      <c r="Z15" s="7">
        <v>2.52</v>
      </c>
      <c r="AA15" s="7">
        <v>30.34</v>
      </c>
      <c r="AB15" s="8">
        <v>2.27</v>
      </c>
      <c r="AC15" s="8">
        <v>39.36</v>
      </c>
      <c r="AD15" s="7"/>
      <c r="AE15" s="7"/>
      <c r="AF15" s="7">
        <v>23.67</v>
      </c>
      <c r="AG15" s="7">
        <v>280.23</v>
      </c>
      <c r="AH15" s="8">
        <v>19.199000000000002</v>
      </c>
      <c r="AI15" s="8">
        <v>243.26300000000001</v>
      </c>
      <c r="AJ15" s="7">
        <v>1.49</v>
      </c>
      <c r="AK15" s="7">
        <v>30.9</v>
      </c>
      <c r="AL15" s="7"/>
      <c r="AM15" s="7"/>
      <c r="AN15" s="7"/>
      <c r="AO15" s="7"/>
      <c r="AP15" s="7"/>
      <c r="AQ15" s="7"/>
      <c r="AR15" s="7">
        <v>9.93</v>
      </c>
      <c r="AS15" s="7">
        <v>413.71</v>
      </c>
      <c r="AT15" s="7"/>
      <c r="AU15" s="7"/>
      <c r="AV15" s="7">
        <v>8.2349999999999994</v>
      </c>
      <c r="AW15" s="7">
        <v>8.0399999999999991</v>
      </c>
      <c r="AX15" s="7">
        <v>172.01</v>
      </c>
      <c r="AY15" s="25">
        <f t="shared" si="0"/>
        <v>83.748999999999995</v>
      </c>
      <c r="AZ15" s="25">
        <f t="shared" si="1"/>
        <v>1585.3679999999999</v>
      </c>
    </row>
    <row r="16" spans="1:59" ht="18" customHeight="1" x14ac:dyDescent="0.25">
      <c r="A16" s="3" t="s">
        <v>203</v>
      </c>
      <c r="B16" s="7">
        <v>1.7829999999999999</v>
      </c>
      <c r="C16" s="7">
        <v>32.682000000000002</v>
      </c>
      <c r="D16" s="7">
        <v>0.627</v>
      </c>
      <c r="E16" s="7">
        <v>10.14</v>
      </c>
      <c r="F16" s="7">
        <v>1.597</v>
      </c>
      <c r="G16" s="7">
        <v>36.167999999999999</v>
      </c>
      <c r="H16" s="7">
        <v>2.0230000000000001</v>
      </c>
      <c r="I16" s="7">
        <v>45.237000000000002</v>
      </c>
      <c r="J16" s="7">
        <v>2.488</v>
      </c>
      <c r="K16" s="7">
        <v>73.225999999999999</v>
      </c>
      <c r="L16" s="7">
        <v>1.0489999999999999</v>
      </c>
      <c r="M16" s="7">
        <v>23.158999999999999</v>
      </c>
      <c r="N16" s="7">
        <v>1.35</v>
      </c>
      <c r="O16" s="7">
        <v>33.332999999999998</v>
      </c>
      <c r="P16" s="7">
        <v>3.254</v>
      </c>
      <c r="Q16" s="7">
        <v>85.262</v>
      </c>
      <c r="R16" s="7">
        <v>1.6419999999999999</v>
      </c>
      <c r="S16" s="7">
        <v>64.507999999999996</v>
      </c>
      <c r="T16" s="7"/>
      <c r="U16" s="7"/>
      <c r="V16" s="7"/>
      <c r="W16" s="7"/>
      <c r="X16" s="7">
        <v>0.13</v>
      </c>
      <c r="Y16" s="7">
        <v>2.9020000000000001</v>
      </c>
      <c r="Z16" s="7">
        <v>2.5169999999999999</v>
      </c>
      <c r="AA16" s="7">
        <v>42.99</v>
      </c>
      <c r="AB16" s="8">
        <v>2.8450000000000002</v>
      </c>
      <c r="AC16" s="8">
        <v>65.266000000000005</v>
      </c>
      <c r="AD16" s="7"/>
      <c r="AE16" s="7"/>
      <c r="AF16" s="7">
        <v>2.7930000000000001</v>
      </c>
      <c r="AG16" s="7">
        <v>58.081000000000003</v>
      </c>
      <c r="AH16" s="8">
        <v>6.9089999999999998</v>
      </c>
      <c r="AI16" s="8">
        <v>127.244</v>
      </c>
      <c r="AJ16" s="7">
        <v>3.63</v>
      </c>
      <c r="AK16" s="7">
        <v>81.444999999999993</v>
      </c>
      <c r="AL16" s="7">
        <v>0.629</v>
      </c>
      <c r="AM16" s="7">
        <v>15.702</v>
      </c>
      <c r="AN16" s="7"/>
      <c r="AO16" s="7"/>
      <c r="AP16" s="7"/>
      <c r="AQ16" s="7"/>
      <c r="AR16" s="7">
        <v>3.5760000000000001</v>
      </c>
      <c r="AS16" s="7">
        <v>88.084999999999994</v>
      </c>
      <c r="AT16" s="7">
        <v>0.29699999999999999</v>
      </c>
      <c r="AU16" s="7">
        <v>6.2050000000000001</v>
      </c>
      <c r="AV16" s="7"/>
      <c r="AW16" s="7">
        <v>23.917999999999999</v>
      </c>
      <c r="AX16" s="7">
        <v>503.83699999999999</v>
      </c>
      <c r="AY16" s="25">
        <f t="shared" si="0"/>
        <v>63.056999999999988</v>
      </c>
      <c r="AZ16" s="25">
        <f t="shared" si="1"/>
        <v>1395.4720000000002</v>
      </c>
    </row>
    <row r="17" spans="1:52" ht="18" customHeight="1" x14ac:dyDescent="0.25">
      <c r="A17" s="3" t="s">
        <v>24</v>
      </c>
      <c r="B17" s="7">
        <v>13.226000000000001</v>
      </c>
      <c r="C17" s="7">
        <v>204.90600000000001</v>
      </c>
      <c r="D17" s="7">
        <v>0.68899999999999995</v>
      </c>
      <c r="E17" s="7">
        <v>6.1790000000000003</v>
      </c>
      <c r="F17" s="7">
        <v>0.38600000000000001</v>
      </c>
      <c r="G17" s="7">
        <v>5.5229999999999997</v>
      </c>
      <c r="H17" s="7">
        <v>21.413</v>
      </c>
      <c r="I17" s="7">
        <v>275.22000000000003</v>
      </c>
      <c r="J17" s="7">
        <v>30.5</v>
      </c>
      <c r="K17" s="7">
        <v>475.99200000000002</v>
      </c>
      <c r="L17" s="7">
        <v>18.63</v>
      </c>
      <c r="M17" s="7">
        <v>17.346</v>
      </c>
      <c r="N17" s="7">
        <v>0.65</v>
      </c>
      <c r="O17" s="7">
        <v>6.9690000000000003</v>
      </c>
      <c r="P17" s="7">
        <v>23.356999999999999</v>
      </c>
      <c r="Q17" s="7">
        <v>368.10300000000001</v>
      </c>
      <c r="R17" s="7">
        <v>0.37</v>
      </c>
      <c r="S17" s="7">
        <v>25.699000000000002</v>
      </c>
      <c r="T17" s="7">
        <v>21.369</v>
      </c>
      <c r="U17" s="7">
        <v>287.971</v>
      </c>
      <c r="V17" s="7"/>
      <c r="W17" s="7"/>
      <c r="X17" s="7"/>
      <c r="Y17" s="7"/>
      <c r="Z17" s="7">
        <v>32.869</v>
      </c>
      <c r="AA17" s="7">
        <v>452.12299999999999</v>
      </c>
      <c r="AB17" s="8">
        <v>16.391999999999999</v>
      </c>
      <c r="AC17" s="8">
        <v>322.73399999999998</v>
      </c>
      <c r="AD17" s="7"/>
      <c r="AE17" s="7"/>
      <c r="AF17" s="7">
        <v>24.376000000000001</v>
      </c>
      <c r="AG17" s="7">
        <v>362.84300000000002</v>
      </c>
      <c r="AH17" s="8">
        <v>49.546999999999997</v>
      </c>
      <c r="AI17" s="8">
        <v>659.649</v>
      </c>
      <c r="AJ17" s="7">
        <v>0.4</v>
      </c>
      <c r="AK17" s="7">
        <v>7.0259999999999998</v>
      </c>
      <c r="AL17" s="7">
        <v>1.347</v>
      </c>
      <c r="AM17" s="7">
        <v>25.535</v>
      </c>
      <c r="AN17" s="7"/>
      <c r="AO17" s="7"/>
      <c r="AP17" s="7"/>
      <c r="AQ17" s="7"/>
      <c r="AR17" s="7">
        <v>26.652999999999999</v>
      </c>
      <c r="AS17" s="7">
        <v>253.947</v>
      </c>
      <c r="AT17" s="7"/>
      <c r="AU17" s="7"/>
      <c r="AV17" s="7"/>
      <c r="AW17" s="7">
        <v>34.497</v>
      </c>
      <c r="AX17" s="7">
        <v>521.51</v>
      </c>
      <c r="AY17" s="25">
        <f t="shared" si="0"/>
        <v>316.67100000000005</v>
      </c>
      <c r="AZ17" s="25">
        <f t="shared" si="1"/>
        <v>4279.2749999999996</v>
      </c>
    </row>
    <row r="18" spans="1:52" ht="18" customHeight="1" x14ac:dyDescent="0.25">
      <c r="A18" s="3" t="s">
        <v>25</v>
      </c>
      <c r="B18" s="7">
        <v>14.542999999999999</v>
      </c>
      <c r="C18" s="7">
        <v>148.22900000000001</v>
      </c>
      <c r="D18" s="7">
        <v>3.21</v>
      </c>
      <c r="E18" s="7">
        <v>29.494</v>
      </c>
      <c r="F18" s="7">
        <v>0.72199999999999998</v>
      </c>
      <c r="G18" s="7">
        <v>7.8559999999999999</v>
      </c>
      <c r="H18" s="7">
        <v>18.093</v>
      </c>
      <c r="I18" s="7">
        <v>448.30599999999998</v>
      </c>
      <c r="J18" s="7">
        <v>10.401</v>
      </c>
      <c r="K18" s="7">
        <v>216.58699999999999</v>
      </c>
      <c r="L18" s="7">
        <v>3.617</v>
      </c>
      <c r="M18" s="7">
        <v>49.241</v>
      </c>
      <c r="N18" s="7">
        <v>4.7089999999999996</v>
      </c>
      <c r="O18" s="7">
        <v>85.263999999999996</v>
      </c>
      <c r="P18" s="7">
        <v>4.6840000000000002</v>
      </c>
      <c r="Q18" s="7">
        <v>82.322999999999993</v>
      </c>
      <c r="R18" s="7">
        <v>7.9329999999999998</v>
      </c>
      <c r="S18" s="7">
        <v>120.768</v>
      </c>
      <c r="T18" s="7">
        <v>41.423000000000002</v>
      </c>
      <c r="U18" s="7">
        <v>583.81500000000005</v>
      </c>
      <c r="V18" s="7">
        <v>0.41599999999999998</v>
      </c>
      <c r="W18" s="7">
        <v>9.3979999999999997</v>
      </c>
      <c r="X18" s="7">
        <v>0.89600000000000002</v>
      </c>
      <c r="Y18" s="7">
        <v>14.314</v>
      </c>
      <c r="Z18" s="7">
        <v>10.917</v>
      </c>
      <c r="AA18" s="7">
        <v>93.194999999999993</v>
      </c>
      <c r="AB18" s="7">
        <v>186.989</v>
      </c>
      <c r="AC18" s="7">
        <v>3227.0349999999999</v>
      </c>
      <c r="AD18" s="7">
        <v>1.2270000000000001</v>
      </c>
      <c r="AE18" s="7">
        <v>14.606</v>
      </c>
      <c r="AF18" s="7">
        <v>1.8180000000000001</v>
      </c>
      <c r="AG18" s="7">
        <v>22.725999999999999</v>
      </c>
      <c r="AH18" s="8">
        <v>44.164000000000001</v>
      </c>
      <c r="AI18" s="8">
        <v>589.12400000000002</v>
      </c>
      <c r="AJ18" s="7">
        <v>5.9119999999999999</v>
      </c>
      <c r="AK18" s="7">
        <v>63.417999999999999</v>
      </c>
      <c r="AL18" s="7">
        <v>2.419</v>
      </c>
      <c r="AM18" s="7">
        <v>55.197000000000003</v>
      </c>
      <c r="AN18" s="7">
        <v>2.5979999999999999</v>
      </c>
      <c r="AO18" s="7">
        <v>35.209000000000003</v>
      </c>
      <c r="AP18" s="7">
        <v>1.0309999999999999</v>
      </c>
      <c r="AQ18" s="7">
        <v>13.103</v>
      </c>
      <c r="AR18" s="7">
        <v>64.25</v>
      </c>
      <c r="AS18" s="7">
        <v>2034.3710000000001</v>
      </c>
      <c r="AT18" s="7">
        <v>11.247999999999999</v>
      </c>
      <c r="AU18" s="7">
        <v>357.81200000000001</v>
      </c>
      <c r="AV18" s="7"/>
      <c r="AW18" s="7">
        <f>12.397+1.812+5.106+16.358+4.037+2.949</f>
        <v>42.658999999999999</v>
      </c>
      <c r="AX18" s="7">
        <f>40.559+45.53+173.413+75.322+52.296+139.855</f>
        <v>526.97500000000002</v>
      </c>
      <c r="AY18" s="25">
        <f t="shared" si="0"/>
        <v>485.87899999999991</v>
      </c>
      <c r="AZ18" s="25">
        <f t="shared" si="1"/>
        <v>8828.366</v>
      </c>
    </row>
    <row r="19" spans="1:52" ht="18" customHeight="1" x14ac:dyDescent="0.25">
      <c r="A19" s="3" t="s">
        <v>26</v>
      </c>
      <c r="B19" s="7">
        <v>0.12790000000000001</v>
      </c>
      <c r="C19" s="7">
        <v>0.80100000000000005</v>
      </c>
      <c r="D19" s="7">
        <v>3.3180999999999998</v>
      </c>
      <c r="E19" s="7">
        <v>42.812399999999997</v>
      </c>
      <c r="F19" s="7">
        <v>0.68720000000000003</v>
      </c>
      <c r="G19" s="7">
        <v>8.6072500000000005</v>
      </c>
      <c r="H19" s="7">
        <v>1.6681999999999999</v>
      </c>
      <c r="I19" s="7">
        <v>17.275980000000001</v>
      </c>
      <c r="J19" s="7">
        <v>0.98839999999999995</v>
      </c>
      <c r="K19" s="7">
        <v>14.29585</v>
      </c>
      <c r="L19" s="7">
        <v>5.9060000000000001E-2</v>
      </c>
      <c r="M19" s="7">
        <v>0.61129999999999995</v>
      </c>
      <c r="N19" s="7">
        <v>7.3499999999999996E-2</v>
      </c>
      <c r="O19" s="7">
        <v>1.4475</v>
      </c>
      <c r="P19" s="7">
        <v>0.37769999999999998</v>
      </c>
      <c r="Q19" s="7">
        <v>6.34788</v>
      </c>
      <c r="R19" s="7">
        <v>2.6368999999999998</v>
      </c>
      <c r="S19" s="7">
        <v>31.538150000000002</v>
      </c>
      <c r="T19" s="7">
        <v>1.7901</v>
      </c>
      <c r="U19" s="7">
        <v>11.856820000000001</v>
      </c>
      <c r="V19" s="7">
        <v>4.8493000000000004</v>
      </c>
      <c r="W19" s="7">
        <v>126.0928</v>
      </c>
      <c r="X19" s="7">
        <v>0.01</v>
      </c>
      <c r="Y19" s="7">
        <v>5.0000000000000001E-3</v>
      </c>
      <c r="Z19" s="7">
        <v>2.1166</v>
      </c>
      <c r="AA19" s="7">
        <v>19.797799999999999</v>
      </c>
      <c r="AB19" s="8">
        <v>6.2E-2</v>
      </c>
      <c r="AC19" s="8">
        <v>0.18</v>
      </c>
      <c r="AD19" s="7">
        <v>0.2455</v>
      </c>
      <c r="AE19" s="7">
        <v>3.6970000000000001</v>
      </c>
      <c r="AF19" s="7">
        <v>2.5548999999999999</v>
      </c>
      <c r="AG19" s="7">
        <v>29.105</v>
      </c>
      <c r="AH19" s="8">
        <v>8.5000000000000006E-2</v>
      </c>
      <c r="AI19" s="8">
        <v>1.8</v>
      </c>
      <c r="AJ19" s="7">
        <v>3.0000000000000001E-3</v>
      </c>
      <c r="AK19" s="7">
        <v>3.5999999999999997E-2</v>
      </c>
      <c r="AL19" s="7">
        <v>1.6215999999999999</v>
      </c>
      <c r="AM19" s="7">
        <v>27.93552</v>
      </c>
      <c r="AN19" s="7">
        <v>0.48599999999999999</v>
      </c>
      <c r="AO19" s="7">
        <v>6.3867500000000001</v>
      </c>
      <c r="AP19" s="7">
        <v>87.632800000000003</v>
      </c>
      <c r="AQ19" s="7">
        <v>1207.2429999999999</v>
      </c>
      <c r="AR19" s="7">
        <v>23.3475</v>
      </c>
      <c r="AS19" s="7">
        <v>8.2254900000000006</v>
      </c>
      <c r="AT19" s="7">
        <v>8.6099999999999996E-2</v>
      </c>
      <c r="AU19" s="7">
        <v>1.331</v>
      </c>
      <c r="AV19" s="7">
        <v>14.390829999999999</v>
      </c>
      <c r="AW19" s="7">
        <f>0.03+0.845+0.024+0.256+0.16+0.1194+6.031</f>
        <v>7.4653999999999998</v>
      </c>
      <c r="AX19" s="7">
        <f>0.015+7.33+0.144+3.072+0.36+0.7255+51.59624</f>
        <v>63.242739999999998</v>
      </c>
      <c r="AY19" s="25">
        <f t="shared" si="0"/>
        <v>142.29275999999999</v>
      </c>
      <c r="AZ19" s="25">
        <f t="shared" si="1"/>
        <v>1645.06306</v>
      </c>
    </row>
    <row r="20" spans="1:52" ht="18" customHeight="1" x14ac:dyDescent="0.25">
      <c r="A20" s="3" t="s">
        <v>55</v>
      </c>
      <c r="B20" s="7">
        <v>4.5999999999999999E-2</v>
      </c>
      <c r="C20" s="7">
        <v>9.0999999999999998E-2</v>
      </c>
      <c r="D20" s="7">
        <v>3.5000000000000003E-2</v>
      </c>
      <c r="E20" s="7">
        <v>5.0999999999999997E-2</v>
      </c>
      <c r="F20" s="7">
        <v>0.02</v>
      </c>
      <c r="G20" s="7">
        <v>0.14799999999999999</v>
      </c>
      <c r="H20" s="7">
        <v>2.5999999999999999E-2</v>
      </c>
      <c r="I20" s="7">
        <v>3.6999999999999998E-2</v>
      </c>
      <c r="J20" s="7"/>
      <c r="K20" s="7"/>
      <c r="L20" s="7"/>
      <c r="M20" s="7"/>
      <c r="N20" s="7"/>
      <c r="O20" s="7"/>
      <c r="P20" s="7"/>
      <c r="Q20" s="7"/>
      <c r="R20" s="7">
        <v>2.9000000000000001E-2</v>
      </c>
      <c r="S20" s="7">
        <v>6.6000000000000003E-2</v>
      </c>
      <c r="T20" s="7">
        <v>1.6E-2</v>
      </c>
      <c r="U20" s="7">
        <v>2.5000000000000001E-2</v>
      </c>
      <c r="V20" s="7"/>
      <c r="W20" s="7"/>
      <c r="X20" s="7"/>
      <c r="Y20" s="7"/>
      <c r="Z20" s="7">
        <v>7.0000000000000001E-3</v>
      </c>
      <c r="AA20" s="7">
        <v>2.5000000000000001E-2</v>
      </c>
      <c r="AB20" s="8"/>
      <c r="AC20" s="8"/>
      <c r="AD20" s="7"/>
      <c r="AE20" s="7"/>
      <c r="AF20" s="7"/>
      <c r="AG20" s="7"/>
      <c r="AH20" s="8"/>
      <c r="AI20" s="8"/>
      <c r="AJ20" s="7">
        <v>7.0000000000000001E-3</v>
      </c>
      <c r="AK20" s="7">
        <v>1E-3</v>
      </c>
      <c r="AL20" s="7">
        <v>1.7000000000000001E-2</v>
      </c>
      <c r="AM20" s="7">
        <v>8.1000000000000003E-2</v>
      </c>
      <c r="AN20" s="7">
        <v>3.7999999999999999E-2</v>
      </c>
      <c r="AO20" s="7">
        <v>0.02</v>
      </c>
      <c r="AP20" s="7">
        <v>8.0000000000000002E-3</v>
      </c>
      <c r="AQ20" s="7">
        <v>1.4999999999999999E-2</v>
      </c>
      <c r="AR20" s="7">
        <v>1.7000000000000001E-2</v>
      </c>
      <c r="AS20" s="7">
        <v>2.7E-2</v>
      </c>
      <c r="AT20" s="7">
        <v>0</v>
      </c>
      <c r="AU20" s="7">
        <v>1E-3</v>
      </c>
      <c r="AV20" s="7"/>
      <c r="AW20" s="7">
        <v>4.4999999999999998E-2</v>
      </c>
      <c r="AX20" s="7">
        <v>6.0999999999999999E-2</v>
      </c>
      <c r="AY20" s="25">
        <f t="shared" si="0"/>
        <v>0.311</v>
      </c>
      <c r="AZ20" s="25">
        <f t="shared" si="1"/>
        <v>0.64900000000000002</v>
      </c>
    </row>
    <row r="21" spans="1:52" ht="18" customHeight="1" x14ac:dyDescent="0.25">
      <c r="A21" s="3" t="s">
        <v>27</v>
      </c>
      <c r="B21" s="7"/>
      <c r="C21" s="7"/>
      <c r="D21" s="7">
        <v>8.8759999999999994</v>
      </c>
      <c r="E21" s="7">
        <v>78</v>
      </c>
      <c r="F21" s="7">
        <v>13.172000000000001</v>
      </c>
      <c r="G21" s="7">
        <v>254</v>
      </c>
      <c r="H21" s="7">
        <v>46.116</v>
      </c>
      <c r="I21" s="7">
        <v>1154</v>
      </c>
      <c r="J21" s="7">
        <v>20.452000000000002</v>
      </c>
      <c r="K21" s="7">
        <v>606</v>
      </c>
      <c r="L21" s="7"/>
      <c r="M21" s="7"/>
      <c r="N21" s="7">
        <v>1.897</v>
      </c>
      <c r="O21" s="7">
        <v>32</v>
      </c>
      <c r="P21" s="7">
        <v>26.042000000000002</v>
      </c>
      <c r="Q21" s="7">
        <v>750</v>
      </c>
      <c r="R21" s="7">
        <v>2.2269999999999999</v>
      </c>
      <c r="S21" s="7">
        <v>34</v>
      </c>
      <c r="T21" s="7"/>
      <c r="U21" s="7"/>
      <c r="V21" s="7"/>
      <c r="W21" s="7"/>
      <c r="X21" s="7">
        <v>3.649</v>
      </c>
      <c r="Y21" s="7">
        <v>44</v>
      </c>
      <c r="Z21" s="7">
        <v>28.105</v>
      </c>
      <c r="AA21" s="7">
        <v>328</v>
      </c>
      <c r="AB21" s="8">
        <v>117.88</v>
      </c>
      <c r="AC21" s="8">
        <v>2842</v>
      </c>
      <c r="AD21" s="7">
        <v>7.5999999999999998E-2</v>
      </c>
      <c r="AE21" s="7">
        <v>7</v>
      </c>
      <c r="AF21" s="7">
        <v>57.802</v>
      </c>
      <c r="AG21" s="7">
        <v>607</v>
      </c>
      <c r="AH21" s="8">
        <v>136.012</v>
      </c>
      <c r="AI21" s="8">
        <v>3048</v>
      </c>
      <c r="AJ21" s="7">
        <v>3.1379999999999999</v>
      </c>
      <c r="AK21" s="7">
        <v>47</v>
      </c>
      <c r="AL21" s="7"/>
      <c r="AM21" s="7"/>
      <c r="AN21" s="7">
        <v>3.089</v>
      </c>
      <c r="AO21" s="7">
        <v>60</v>
      </c>
      <c r="AP21" s="7"/>
      <c r="AQ21" s="7"/>
      <c r="AR21" s="7">
        <v>70.224999999999994</v>
      </c>
      <c r="AS21" s="7">
        <v>2177</v>
      </c>
      <c r="AT21" s="7">
        <v>3.2290000000000001</v>
      </c>
      <c r="AU21" s="7">
        <v>47</v>
      </c>
      <c r="AV21" s="7"/>
      <c r="AW21" s="7">
        <v>130.31100000000001</v>
      </c>
      <c r="AX21" s="7">
        <v>2084</v>
      </c>
      <c r="AY21" s="25">
        <f t="shared" si="0"/>
        <v>672.29800000000012</v>
      </c>
      <c r="AZ21" s="25">
        <f t="shared" si="1"/>
        <v>14199</v>
      </c>
    </row>
    <row r="22" spans="1:52" ht="18" customHeight="1" x14ac:dyDescent="0.25">
      <c r="A22" s="3" t="s">
        <v>28</v>
      </c>
      <c r="B22" s="27">
        <v>5.6970000000000001</v>
      </c>
      <c r="C22" s="27">
        <v>50.326000000000001</v>
      </c>
      <c r="D22" s="27">
        <v>0.86899999999999999</v>
      </c>
      <c r="E22" s="27">
        <v>15.988</v>
      </c>
      <c r="F22" s="27">
        <v>0.71</v>
      </c>
      <c r="G22" s="27">
        <v>26.103999999999999</v>
      </c>
      <c r="H22" s="27">
        <v>26.664999999999999</v>
      </c>
      <c r="I22" s="27">
        <v>543.92399999999998</v>
      </c>
      <c r="J22" s="27">
        <v>8.8719999999999999</v>
      </c>
      <c r="K22" s="27">
        <v>180.596</v>
      </c>
      <c r="L22" s="27">
        <v>1.603</v>
      </c>
      <c r="M22" s="27">
        <v>18.678000000000001</v>
      </c>
      <c r="N22" s="27">
        <v>9.5000000000000001E-2</v>
      </c>
      <c r="O22" s="27">
        <v>1.1990000000000001</v>
      </c>
      <c r="P22" s="27">
        <v>10.564</v>
      </c>
      <c r="Q22" s="27">
        <v>169.86699999999999</v>
      </c>
      <c r="R22" s="27">
        <v>1.099</v>
      </c>
      <c r="S22" s="27">
        <v>19.277000000000001</v>
      </c>
      <c r="T22" s="27">
        <v>12.291</v>
      </c>
      <c r="U22" s="27">
        <v>127.413</v>
      </c>
      <c r="V22" s="27"/>
      <c r="W22" s="27"/>
      <c r="X22" s="27"/>
      <c r="Y22" s="27"/>
      <c r="Z22" s="27">
        <v>11.340999999999999</v>
      </c>
      <c r="AA22" s="27">
        <v>84.644000000000005</v>
      </c>
      <c r="AB22" s="19">
        <v>441.899</v>
      </c>
      <c r="AC22" s="90">
        <v>5361</v>
      </c>
      <c r="AD22" s="27"/>
      <c r="AE22" s="27"/>
      <c r="AF22" s="27">
        <v>2.8759999999999999</v>
      </c>
      <c r="AG22" s="27">
        <v>10.518000000000001</v>
      </c>
      <c r="AH22" s="19">
        <v>11.066000000000001</v>
      </c>
      <c r="AI22" s="19">
        <v>200.74700000000001</v>
      </c>
      <c r="AJ22" s="27">
        <v>0.27300000000000002</v>
      </c>
      <c r="AK22" s="27">
        <v>1.3939999999999999</v>
      </c>
      <c r="AL22" s="27"/>
      <c r="AM22" s="27"/>
      <c r="AN22" s="27">
        <v>8.8999999999999996E-2</v>
      </c>
      <c r="AO22" s="27">
        <v>5.44</v>
      </c>
      <c r="AP22" s="27"/>
      <c r="AQ22" s="27"/>
      <c r="AR22" s="27">
        <v>35.451999999999998</v>
      </c>
      <c r="AS22" s="27">
        <v>762.16099999999994</v>
      </c>
      <c r="AT22" s="27">
        <v>0.33400000000000002</v>
      </c>
      <c r="AU22" s="27">
        <v>5.1909999999999998</v>
      </c>
      <c r="AV22" s="27"/>
      <c r="AW22" s="27">
        <f>0.37+11.9+0.1+11.049</f>
        <v>23.418999999999997</v>
      </c>
      <c r="AX22" s="27">
        <f>95.739+29.6+1071+2.2</f>
        <v>1198.539</v>
      </c>
      <c r="AY22" s="25">
        <f t="shared" si="0"/>
        <v>595.21400000000006</v>
      </c>
      <c r="AZ22" s="25">
        <f t="shared" si="1"/>
        <v>8783.0059999999994</v>
      </c>
    </row>
    <row r="23" spans="1:52" ht="18" customHeight="1" x14ac:dyDescent="0.25">
      <c r="A23" s="4" t="s">
        <v>29</v>
      </c>
      <c r="B23" s="7"/>
      <c r="C23" s="7"/>
      <c r="D23" s="7"/>
      <c r="E23" s="7"/>
      <c r="F23" s="7"/>
      <c r="G23" s="7"/>
      <c r="H23" s="7"/>
      <c r="I23" s="7"/>
      <c r="J23" s="7">
        <v>7.59</v>
      </c>
      <c r="K23" s="7">
        <v>90.703999999999994</v>
      </c>
      <c r="L23" s="7"/>
      <c r="M23" s="7"/>
      <c r="N23" s="7"/>
      <c r="O23" s="7"/>
      <c r="P23" s="7">
        <v>2.85</v>
      </c>
      <c r="Q23" s="7">
        <v>31.34</v>
      </c>
      <c r="R23" s="7">
        <v>0.27</v>
      </c>
      <c r="S23" s="7">
        <v>1.706</v>
      </c>
      <c r="T23" s="7">
        <v>0.19</v>
      </c>
      <c r="U23" s="7">
        <v>1.43</v>
      </c>
      <c r="V23" s="7"/>
      <c r="W23" s="7"/>
      <c r="X23" s="7"/>
      <c r="Y23" s="7"/>
      <c r="Z23" s="7">
        <v>0.14000000000000001</v>
      </c>
      <c r="AA23" s="7">
        <v>1.0209999999999999</v>
      </c>
      <c r="AB23" s="8">
        <v>0.34300000000000003</v>
      </c>
      <c r="AC23" s="8">
        <v>5.0890000000000004</v>
      </c>
      <c r="AD23" s="7"/>
      <c r="AE23" s="7"/>
      <c r="AF23" s="7">
        <v>6.0279999999999996</v>
      </c>
      <c r="AG23" s="7">
        <v>57.353000000000002</v>
      </c>
      <c r="AH23" s="8"/>
      <c r="AI23" s="8"/>
      <c r="AJ23" s="7"/>
      <c r="AK23" s="7"/>
      <c r="AL23" s="7"/>
      <c r="AM23" s="7"/>
      <c r="AN23" s="7"/>
      <c r="AO23" s="7"/>
      <c r="AP23" s="7"/>
      <c r="AQ23" s="7"/>
      <c r="AR23" s="7">
        <v>2.5409999999999999</v>
      </c>
      <c r="AS23" s="7">
        <v>25.672000000000001</v>
      </c>
      <c r="AT23" s="7">
        <v>3.7999999999999999E-2</v>
      </c>
      <c r="AU23" s="7">
        <v>0.75900000000000001</v>
      </c>
      <c r="AV23" s="7"/>
      <c r="AW23" s="7">
        <v>9.34</v>
      </c>
      <c r="AX23" s="7">
        <v>52.935000000000002</v>
      </c>
      <c r="AY23" s="25">
        <f t="shared" si="0"/>
        <v>29.33</v>
      </c>
      <c r="AZ23" s="25">
        <f t="shared" si="1"/>
        <v>268.00900000000001</v>
      </c>
    </row>
    <row r="24" spans="1:52" ht="18" customHeight="1" x14ac:dyDescent="0.25">
      <c r="A24" s="3" t="s">
        <v>30</v>
      </c>
      <c r="B24" s="7">
        <v>0.9</v>
      </c>
      <c r="C24" s="7">
        <v>6.4</v>
      </c>
      <c r="D24" s="7">
        <v>0.6</v>
      </c>
      <c r="E24" s="7">
        <v>5.5</v>
      </c>
      <c r="F24" s="7">
        <v>0.7</v>
      </c>
      <c r="G24" s="7">
        <v>8.4</v>
      </c>
      <c r="H24" s="7">
        <v>1</v>
      </c>
      <c r="I24" s="7">
        <v>13.8</v>
      </c>
      <c r="J24" s="7">
        <v>1.9</v>
      </c>
      <c r="K24" s="7">
        <v>40.700000000000003</v>
      </c>
      <c r="L24" s="7">
        <v>0.5</v>
      </c>
      <c r="M24" s="7">
        <v>4.4000000000000004</v>
      </c>
      <c r="N24" s="7">
        <v>1.2</v>
      </c>
      <c r="O24" s="7">
        <v>21.7</v>
      </c>
      <c r="P24" s="7">
        <v>2</v>
      </c>
      <c r="Q24" s="7">
        <v>78.400000000000006</v>
      </c>
      <c r="R24" s="7">
        <v>0.5</v>
      </c>
      <c r="S24" s="7">
        <v>4.4000000000000004</v>
      </c>
      <c r="T24" s="7"/>
      <c r="U24" s="7"/>
      <c r="V24" s="7"/>
      <c r="W24" s="7"/>
      <c r="X24" s="7"/>
      <c r="Y24" s="7"/>
      <c r="Z24" s="7"/>
      <c r="AA24" s="7"/>
      <c r="AB24" s="8">
        <v>0.5</v>
      </c>
      <c r="AC24" s="8">
        <v>4.3</v>
      </c>
      <c r="AD24" s="7"/>
      <c r="AE24" s="7"/>
      <c r="AF24" s="7">
        <v>0.9</v>
      </c>
      <c r="AG24" s="7">
        <v>5.9</v>
      </c>
      <c r="AH24" s="8">
        <v>18.8</v>
      </c>
      <c r="AI24" s="8">
        <v>191.5</v>
      </c>
      <c r="AJ24" s="7">
        <v>1.5</v>
      </c>
      <c r="AK24" s="7">
        <v>28.7</v>
      </c>
      <c r="AL24" s="7">
        <v>1.3</v>
      </c>
      <c r="AM24" s="7">
        <v>17.2</v>
      </c>
      <c r="AN24" s="7">
        <v>4.5</v>
      </c>
      <c r="AO24" s="7">
        <v>16.3</v>
      </c>
      <c r="AP24" s="7">
        <v>5.6</v>
      </c>
      <c r="AQ24" s="7">
        <v>34.4</v>
      </c>
      <c r="AR24" s="7">
        <v>2.2000000000000002</v>
      </c>
      <c r="AS24" s="7">
        <v>52</v>
      </c>
      <c r="AT24" s="7"/>
      <c r="AU24" s="7"/>
      <c r="AV24" s="7"/>
      <c r="AW24" s="7"/>
      <c r="AX24" s="7"/>
      <c r="AY24" s="25">
        <f t="shared" si="0"/>
        <v>44.6</v>
      </c>
      <c r="AZ24" s="25">
        <f t="shared" si="1"/>
        <v>534</v>
      </c>
    </row>
    <row r="25" spans="1:52" ht="18" customHeight="1" x14ac:dyDescent="0.25">
      <c r="A25" s="3" t="s">
        <v>31</v>
      </c>
      <c r="B25" s="7">
        <v>2.1</v>
      </c>
      <c r="C25" s="7">
        <v>5.2</v>
      </c>
      <c r="D25" s="7">
        <v>4.2</v>
      </c>
      <c r="E25" s="7">
        <v>20.3</v>
      </c>
      <c r="F25" s="7">
        <v>7.8E-2</v>
      </c>
      <c r="G25" s="7">
        <v>0.43</v>
      </c>
      <c r="H25" s="7">
        <v>2.12</v>
      </c>
      <c r="I25" s="7">
        <v>17.100000000000001</v>
      </c>
      <c r="J25" s="7">
        <v>3.68</v>
      </c>
      <c r="K25" s="7">
        <v>48.81</v>
      </c>
      <c r="L25" s="7">
        <v>0.32</v>
      </c>
      <c r="M25" s="7">
        <v>3.59</v>
      </c>
      <c r="N25" s="7">
        <v>0.18</v>
      </c>
      <c r="O25" s="7">
        <v>1.85</v>
      </c>
      <c r="P25" s="7">
        <v>0.13</v>
      </c>
      <c r="Q25" s="7">
        <v>1.08</v>
      </c>
      <c r="R25" s="7">
        <v>0.3</v>
      </c>
      <c r="S25" s="7">
        <v>2.15</v>
      </c>
      <c r="T25" s="7"/>
      <c r="U25" s="7"/>
      <c r="V25" s="7"/>
      <c r="W25" s="7"/>
      <c r="X25" s="7">
        <v>0.12</v>
      </c>
      <c r="Y25" s="7">
        <v>0.26</v>
      </c>
      <c r="Z25" s="7">
        <v>3.63</v>
      </c>
      <c r="AA25" s="7">
        <v>25.02</v>
      </c>
      <c r="AB25" s="8">
        <v>1.27</v>
      </c>
      <c r="AC25" s="8">
        <v>10</v>
      </c>
      <c r="AD25" s="7"/>
      <c r="AE25" s="7"/>
      <c r="AF25" s="7">
        <v>0.5</v>
      </c>
      <c r="AG25" s="7">
        <v>2.29</v>
      </c>
      <c r="AH25" s="8">
        <v>0.13</v>
      </c>
      <c r="AI25" s="8">
        <v>1.4359999999999999</v>
      </c>
      <c r="AJ25" s="7">
        <v>0.32</v>
      </c>
      <c r="AK25" s="7">
        <v>1.72</v>
      </c>
      <c r="AL25" s="7">
        <v>0.13</v>
      </c>
      <c r="AM25" s="7">
        <v>0.14000000000000001</v>
      </c>
      <c r="AN25" s="7">
        <v>0.18</v>
      </c>
      <c r="AO25" s="7">
        <v>1.21</v>
      </c>
      <c r="AP25" s="7">
        <v>0.13</v>
      </c>
      <c r="AQ25" s="7">
        <v>1.9</v>
      </c>
      <c r="AR25" s="7">
        <v>1.07</v>
      </c>
      <c r="AS25" s="7">
        <v>10.119999999999999</v>
      </c>
      <c r="AT25" s="7">
        <v>0.32</v>
      </c>
      <c r="AU25" s="7">
        <v>0.94</v>
      </c>
      <c r="AV25" s="7"/>
      <c r="AW25" s="23">
        <v>23.123000000000001</v>
      </c>
      <c r="AX25" s="7">
        <v>118.217</v>
      </c>
      <c r="AY25" s="25">
        <f t="shared" si="0"/>
        <v>44.030999999999999</v>
      </c>
      <c r="AZ25" s="25">
        <f t="shared" si="1"/>
        <v>273.76300000000003</v>
      </c>
    </row>
    <row r="26" spans="1:52" ht="18" customHeight="1" x14ac:dyDescent="0.25">
      <c r="A26" s="26" t="s">
        <v>32</v>
      </c>
      <c r="B26" s="7">
        <v>2.33</v>
      </c>
      <c r="C26" s="7">
        <v>18.649999999999999</v>
      </c>
      <c r="D26" s="7">
        <v>0.14000000000000001</v>
      </c>
      <c r="E26" s="7">
        <v>1.1200000000000001</v>
      </c>
      <c r="F26" s="7">
        <v>0.15</v>
      </c>
      <c r="G26" s="7">
        <v>1.2</v>
      </c>
      <c r="H26" s="7">
        <v>0.41</v>
      </c>
      <c r="I26" s="7">
        <v>3.28</v>
      </c>
      <c r="J26" s="7">
        <v>8.1</v>
      </c>
      <c r="K26" s="7">
        <v>162</v>
      </c>
      <c r="L26" s="7"/>
      <c r="M26" s="7"/>
      <c r="N26" s="7">
        <v>0.51</v>
      </c>
      <c r="O26" s="7">
        <v>6.12</v>
      </c>
      <c r="P26" s="7">
        <v>0.62</v>
      </c>
      <c r="Q26" s="7">
        <v>4.96</v>
      </c>
      <c r="R26" s="7">
        <v>0.46</v>
      </c>
      <c r="S26" s="7">
        <v>4.5999999999999996</v>
      </c>
      <c r="T26" s="7">
        <v>5.82</v>
      </c>
      <c r="U26" s="7">
        <v>41.904000000000003</v>
      </c>
      <c r="V26" s="7"/>
      <c r="W26" s="7"/>
      <c r="X26" s="7"/>
      <c r="Y26" s="7"/>
      <c r="Z26" s="7">
        <v>0.16</v>
      </c>
      <c r="AA26" s="7">
        <v>1.28</v>
      </c>
      <c r="AB26" s="8">
        <v>0.7</v>
      </c>
      <c r="AC26" s="8">
        <v>7.7</v>
      </c>
      <c r="AD26" s="7"/>
      <c r="AE26" s="7"/>
      <c r="AF26" s="7">
        <v>1.56</v>
      </c>
      <c r="AG26" s="7">
        <v>9.36</v>
      </c>
      <c r="AH26" s="8">
        <v>4.82</v>
      </c>
      <c r="AI26" s="8">
        <v>65.099999999999994</v>
      </c>
      <c r="AJ26" s="7">
        <v>0.55000000000000004</v>
      </c>
      <c r="AK26" s="7">
        <v>5.5</v>
      </c>
      <c r="AL26" s="7">
        <v>0.51</v>
      </c>
      <c r="AM26" s="7">
        <v>5.0999999999999996</v>
      </c>
      <c r="AN26" s="7">
        <v>1.56</v>
      </c>
      <c r="AO26" s="7">
        <v>23.4</v>
      </c>
      <c r="AP26" s="7">
        <v>6.15</v>
      </c>
      <c r="AQ26" s="7">
        <v>92.25</v>
      </c>
      <c r="AR26" s="7">
        <v>2.72</v>
      </c>
      <c r="AS26" s="7">
        <v>20</v>
      </c>
      <c r="AT26" s="7">
        <v>0.18</v>
      </c>
      <c r="AU26" s="7">
        <v>1.8</v>
      </c>
      <c r="AV26" s="7">
        <v>6.05</v>
      </c>
      <c r="AW26" s="7">
        <v>1.1000000000000001</v>
      </c>
      <c r="AX26" s="7">
        <v>11</v>
      </c>
      <c r="AY26" s="25">
        <f t="shared" si="0"/>
        <v>38.549999999999997</v>
      </c>
      <c r="AZ26" s="25">
        <f t="shared" si="1"/>
        <v>492.37400000000002</v>
      </c>
    </row>
    <row r="27" spans="1:52" ht="18" customHeight="1" x14ac:dyDescent="0.25">
      <c r="A27" s="3" t="s">
        <v>175</v>
      </c>
      <c r="B27" s="7">
        <v>10.6</v>
      </c>
      <c r="C27" s="7">
        <v>48.87</v>
      </c>
      <c r="D27" s="7">
        <v>11.06</v>
      </c>
      <c r="E27" s="7">
        <v>108.39</v>
      </c>
      <c r="F27" s="7">
        <v>10.14</v>
      </c>
      <c r="G27" s="7">
        <v>138.41</v>
      </c>
      <c r="H27" s="7">
        <v>122.68</v>
      </c>
      <c r="I27" s="7">
        <v>2098.5</v>
      </c>
      <c r="J27" s="7">
        <v>40.74</v>
      </c>
      <c r="K27" s="7">
        <v>1143.8599999999999</v>
      </c>
      <c r="L27" s="7">
        <v>0.4</v>
      </c>
      <c r="M27" s="7">
        <v>5.83</v>
      </c>
      <c r="N27" s="7">
        <v>0.1</v>
      </c>
      <c r="O27" s="7">
        <v>1.28</v>
      </c>
      <c r="P27" s="7">
        <v>44.17</v>
      </c>
      <c r="Q27" s="7">
        <v>669.1</v>
      </c>
      <c r="R27" s="7">
        <v>2.35</v>
      </c>
      <c r="S27" s="7">
        <v>33.020000000000003</v>
      </c>
      <c r="T27" s="7"/>
      <c r="U27" s="7"/>
      <c r="V27" s="7"/>
      <c r="W27" s="7"/>
      <c r="X27" s="7">
        <v>0.09</v>
      </c>
      <c r="Y27" s="7">
        <v>1.42</v>
      </c>
      <c r="Z27" s="7">
        <v>64.61</v>
      </c>
      <c r="AA27" s="7">
        <v>571.73</v>
      </c>
      <c r="AB27" s="8">
        <v>33.19</v>
      </c>
      <c r="AC27" s="8">
        <v>395.96</v>
      </c>
      <c r="AD27" s="7">
        <v>2.06</v>
      </c>
      <c r="AE27" s="7">
        <v>29.1</v>
      </c>
      <c r="AF27" s="7">
        <v>5.86</v>
      </c>
      <c r="AG27" s="7">
        <v>52.6</v>
      </c>
      <c r="AH27" s="8">
        <v>15.81</v>
      </c>
      <c r="AI27" s="8">
        <v>268.85000000000002</v>
      </c>
      <c r="AJ27" s="7">
        <v>12.55</v>
      </c>
      <c r="AK27" s="7">
        <v>136.11000000000001</v>
      </c>
      <c r="AL27" s="7">
        <v>24.36</v>
      </c>
      <c r="AM27" s="7">
        <v>537.83000000000004</v>
      </c>
      <c r="AN27" s="7">
        <v>41.43</v>
      </c>
      <c r="AO27" s="7">
        <v>391.4</v>
      </c>
      <c r="AP27" s="7">
        <v>7.0000000000000007E-2</v>
      </c>
      <c r="AQ27" s="7">
        <v>1.1000000000000001</v>
      </c>
      <c r="AR27" s="7">
        <v>96.56</v>
      </c>
      <c r="AS27" s="7">
        <v>1374.94</v>
      </c>
      <c r="AT27" s="7">
        <v>12.01</v>
      </c>
      <c r="AU27" s="7">
        <v>232.34</v>
      </c>
      <c r="AV27" s="7">
        <v>9.7100000000000009</v>
      </c>
      <c r="AW27" s="7">
        <v>117.69</v>
      </c>
      <c r="AX27" s="7">
        <v>1163.19</v>
      </c>
      <c r="AY27" s="25">
        <f t="shared" si="0"/>
        <v>668.5300000000002</v>
      </c>
      <c r="AZ27" s="25">
        <f t="shared" si="1"/>
        <v>9413.5400000000009</v>
      </c>
    </row>
    <row r="28" spans="1:52" ht="18" customHeight="1" x14ac:dyDescent="0.25">
      <c r="A28" s="26" t="s">
        <v>165</v>
      </c>
      <c r="B28" s="7">
        <v>3.1E-2</v>
      </c>
      <c r="C28" s="7">
        <v>0.18</v>
      </c>
      <c r="D28" s="7">
        <v>1.9E-2</v>
      </c>
      <c r="E28" s="7">
        <v>0.05</v>
      </c>
      <c r="F28" s="7">
        <v>0.02</v>
      </c>
      <c r="G28" s="7">
        <v>0.15</v>
      </c>
      <c r="H28" s="7">
        <v>0.12</v>
      </c>
      <c r="I28" s="7">
        <v>2.6970000000000001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3.5000000000000003E-2</v>
      </c>
      <c r="U28" s="7">
        <v>0.38500000000000001</v>
      </c>
      <c r="V28" s="7">
        <v>6.3E-2</v>
      </c>
      <c r="W28" s="7">
        <v>1.575</v>
      </c>
      <c r="X28" s="7">
        <v>7.4999999999999997E-2</v>
      </c>
      <c r="Y28" s="7">
        <v>0.13500000000000001</v>
      </c>
      <c r="Z28" s="7">
        <v>9.5000000000000001E-2</v>
      </c>
      <c r="AA28" s="7">
        <v>0.95</v>
      </c>
      <c r="AB28" s="8">
        <v>0.02</v>
      </c>
      <c r="AC28" s="8">
        <v>0.1</v>
      </c>
      <c r="AD28" s="7"/>
      <c r="AE28" s="7"/>
      <c r="AF28" s="7"/>
      <c r="AG28" s="7"/>
      <c r="AH28" s="8"/>
      <c r="AI28" s="8"/>
      <c r="AJ28" s="7">
        <v>1.7000000000000001E-2</v>
      </c>
      <c r="AK28" s="7">
        <v>0.221</v>
      </c>
      <c r="AL28" s="7"/>
      <c r="AM28" s="7"/>
      <c r="AN28" s="7">
        <v>3.5000000000000003E-2</v>
      </c>
      <c r="AO28" s="7">
        <v>0.45500000000000002</v>
      </c>
      <c r="AP28" s="7">
        <v>0.42699999999999999</v>
      </c>
      <c r="AQ28" s="7">
        <v>31.52</v>
      </c>
      <c r="AR28" s="7">
        <v>1.7000000000000001E-2</v>
      </c>
      <c r="AS28" s="7">
        <v>0.27200000000000002</v>
      </c>
      <c r="AT28" s="7">
        <v>0.13800000000000001</v>
      </c>
      <c r="AU28" s="7">
        <v>2.0699999999999998</v>
      </c>
      <c r="AV28" s="7"/>
      <c r="AW28" s="7">
        <v>0.35199999999999998</v>
      </c>
      <c r="AX28" s="7">
        <v>2.9750000000000001</v>
      </c>
      <c r="AY28" s="25">
        <f t="shared" si="0"/>
        <v>1.464</v>
      </c>
      <c r="AZ28" s="25">
        <f t="shared" si="1"/>
        <v>43.734999999999999</v>
      </c>
    </row>
    <row r="29" spans="1:52" ht="18" customHeight="1" x14ac:dyDescent="0.25">
      <c r="A29" s="3" t="s">
        <v>33</v>
      </c>
      <c r="B29" s="7"/>
      <c r="C29" s="7"/>
      <c r="D29" s="7"/>
      <c r="E29" s="7"/>
      <c r="F29" s="7"/>
      <c r="G29" s="7"/>
      <c r="H29" s="7">
        <v>3.891</v>
      </c>
      <c r="I29" s="7">
        <v>82.790999999999997</v>
      </c>
      <c r="J29" s="7">
        <v>5.5529999999999999</v>
      </c>
      <c r="K29" s="7">
        <v>97.82</v>
      </c>
      <c r="L29" s="7"/>
      <c r="M29" s="7"/>
      <c r="N29" s="7"/>
      <c r="O29" s="7"/>
      <c r="P29" s="7">
        <v>13.824</v>
      </c>
      <c r="Q29" s="7">
        <v>248.45400000000001</v>
      </c>
      <c r="R29" s="7"/>
      <c r="S29" s="7"/>
      <c r="T29" s="7">
        <v>7.359</v>
      </c>
      <c r="U29" s="7">
        <v>16.640999999999998</v>
      </c>
      <c r="V29" s="7"/>
      <c r="W29" s="7"/>
      <c r="X29" s="7">
        <v>5.0949999999999998</v>
      </c>
      <c r="Y29" s="7">
        <v>88.712999999999994</v>
      </c>
      <c r="Z29" s="8">
        <v>3.5289999999999999</v>
      </c>
      <c r="AA29" s="8">
        <v>36.74</v>
      </c>
      <c r="AB29" s="7">
        <v>8.3789999999999996</v>
      </c>
      <c r="AC29" s="7">
        <v>188.17500000000001</v>
      </c>
      <c r="AD29" s="7"/>
      <c r="AE29" s="7"/>
      <c r="AF29" s="7">
        <v>22.149000000000001</v>
      </c>
      <c r="AG29" s="7">
        <v>228.01400000000001</v>
      </c>
      <c r="AH29" s="8">
        <v>89.992999999999995</v>
      </c>
      <c r="AI29" s="8">
        <v>2262.404</v>
      </c>
      <c r="AJ29" s="7"/>
      <c r="AK29" s="7"/>
      <c r="AL29" s="7"/>
      <c r="AM29" s="7"/>
      <c r="AN29" s="7"/>
      <c r="AO29" s="7"/>
      <c r="AP29" s="7"/>
      <c r="AQ29" s="7"/>
      <c r="AR29" s="7">
        <v>7.58</v>
      </c>
      <c r="AS29" s="7">
        <v>185.9</v>
      </c>
      <c r="AT29" s="7">
        <v>1.1990000000000001</v>
      </c>
      <c r="AU29" s="7">
        <v>21.113</v>
      </c>
      <c r="AV29" s="7"/>
      <c r="AW29" s="7">
        <f>14.294+22.295+2.894</f>
        <v>39.482999999999997</v>
      </c>
      <c r="AX29" s="7">
        <f>217.145+486.422+7.316</f>
        <v>710.88300000000004</v>
      </c>
      <c r="AY29" s="25">
        <f t="shared" si="0"/>
        <v>208.03400000000002</v>
      </c>
      <c r="AZ29" s="25">
        <f t="shared" si="1"/>
        <v>4167.6480000000001</v>
      </c>
    </row>
    <row r="30" spans="1:52" ht="18" customHeight="1" x14ac:dyDescent="0.25">
      <c r="A30" s="3" t="s">
        <v>34</v>
      </c>
      <c r="B30" s="7">
        <v>0.82799999999999996</v>
      </c>
      <c r="C30" s="7">
        <v>1.736</v>
      </c>
      <c r="D30" s="7">
        <v>0.80600000000000005</v>
      </c>
      <c r="E30" s="7">
        <v>2.319</v>
      </c>
      <c r="F30" s="7">
        <v>3.9769999999999999</v>
      </c>
      <c r="G30" s="7">
        <v>14.718999999999999</v>
      </c>
      <c r="H30" s="7">
        <v>4.633</v>
      </c>
      <c r="I30" s="7">
        <v>21.803000000000001</v>
      </c>
      <c r="J30" s="7">
        <v>3.282</v>
      </c>
      <c r="K30" s="7">
        <v>19.023</v>
      </c>
      <c r="L30" s="7"/>
      <c r="M30" s="7"/>
      <c r="N30" s="7">
        <v>0.81399999999999995</v>
      </c>
      <c r="O30" s="7">
        <v>6.9649999999999999</v>
      </c>
      <c r="P30" s="7">
        <v>8.3480000000000008</v>
      </c>
      <c r="Q30" s="7">
        <v>37.289000000000001</v>
      </c>
      <c r="R30" s="7">
        <v>0.71299999999999997</v>
      </c>
      <c r="S30" s="7">
        <v>5.4779999999999998</v>
      </c>
      <c r="T30" s="7">
        <v>3.827</v>
      </c>
      <c r="U30" s="7">
        <v>9.5190000000000001</v>
      </c>
      <c r="V30" s="7"/>
      <c r="W30" s="7"/>
      <c r="X30" s="7">
        <v>2.536</v>
      </c>
      <c r="Y30" s="7">
        <v>10.413</v>
      </c>
      <c r="Z30" s="7">
        <v>3.4809999999999999</v>
      </c>
      <c r="AA30" s="7">
        <v>11.819000000000001</v>
      </c>
      <c r="AB30" s="8">
        <v>61.363</v>
      </c>
      <c r="AC30" s="8">
        <v>960.78399999999999</v>
      </c>
      <c r="AD30" s="7"/>
      <c r="AE30" s="7"/>
      <c r="AF30" s="7">
        <v>13.561999999999999</v>
      </c>
      <c r="AG30" s="7">
        <v>30.359000000000002</v>
      </c>
      <c r="AH30" s="8">
        <v>12.513999999999999</v>
      </c>
      <c r="AI30" s="8">
        <v>149.81399999999999</v>
      </c>
      <c r="AJ30" s="7">
        <v>0.72499999999999998</v>
      </c>
      <c r="AK30" s="7">
        <v>3.681</v>
      </c>
      <c r="AL30" s="7">
        <v>0.93899999999999995</v>
      </c>
      <c r="AM30" s="7">
        <v>13.332000000000001</v>
      </c>
      <c r="AN30" s="7">
        <v>0.753</v>
      </c>
      <c r="AO30" s="7">
        <v>5.7439999999999998</v>
      </c>
      <c r="AP30" s="7"/>
      <c r="AQ30" s="7"/>
      <c r="AR30" s="7">
        <v>16.518999999999998</v>
      </c>
      <c r="AS30" s="7">
        <v>75.227999999999994</v>
      </c>
      <c r="AT30" s="7">
        <v>3.0129999999999999</v>
      </c>
      <c r="AU30" s="7">
        <v>18.379000000000001</v>
      </c>
      <c r="AV30" s="7"/>
      <c r="AW30" s="7">
        <f>8.121+1.28+1.882</f>
        <v>11.282999999999999</v>
      </c>
      <c r="AX30" s="7">
        <f>21.875+4.834+8.115</f>
        <v>34.823999999999998</v>
      </c>
      <c r="AY30" s="25">
        <f t="shared" si="0"/>
        <v>153.91599999999997</v>
      </c>
      <c r="AZ30" s="25">
        <f t="shared" si="1"/>
        <v>1433.2280000000001</v>
      </c>
    </row>
    <row r="31" spans="1:52" ht="18" customHeight="1" x14ac:dyDescent="0.25">
      <c r="A31" s="3" t="s">
        <v>35</v>
      </c>
      <c r="B31" s="7">
        <v>1.1160000000000001</v>
      </c>
      <c r="C31" s="7">
        <v>5.6079999999999997</v>
      </c>
      <c r="D31" s="7">
        <v>0.3</v>
      </c>
      <c r="E31" s="7">
        <v>0.2</v>
      </c>
      <c r="F31" s="7">
        <v>0.5</v>
      </c>
      <c r="G31" s="7">
        <v>0.3</v>
      </c>
      <c r="H31" s="7">
        <v>3</v>
      </c>
      <c r="I31" s="7">
        <v>0.17</v>
      </c>
      <c r="J31" s="7">
        <v>1.21</v>
      </c>
      <c r="K31" s="7">
        <v>7.34</v>
      </c>
      <c r="L31" s="7">
        <v>3.1E-2</v>
      </c>
      <c r="M31" s="7">
        <v>9.2999999999999999E-2</v>
      </c>
      <c r="N31" s="7">
        <v>0.36299999999999999</v>
      </c>
      <c r="O31" s="7">
        <v>2.86</v>
      </c>
      <c r="P31" s="7">
        <v>0.78200000000000003</v>
      </c>
      <c r="Q31" s="7">
        <v>4.2300000000000004</v>
      </c>
      <c r="R31" s="7">
        <v>6.7000000000000004E-2</v>
      </c>
      <c r="S31" s="7">
        <v>0.30299999999999999</v>
      </c>
      <c r="T31" s="7">
        <v>9.0999999999999998E-2</v>
      </c>
      <c r="U31" s="7">
        <v>0.31900000000000001</v>
      </c>
      <c r="V31" s="7"/>
      <c r="W31" s="7"/>
      <c r="X31" s="7"/>
      <c r="Y31" s="7"/>
      <c r="Z31" s="7">
        <v>1.1299999999999999</v>
      </c>
      <c r="AA31" s="7">
        <v>7.52</v>
      </c>
      <c r="AB31" s="8">
        <v>0.32100000000000001</v>
      </c>
      <c r="AC31" s="8">
        <v>1.72</v>
      </c>
      <c r="AD31" s="7"/>
      <c r="AE31" s="7"/>
      <c r="AF31" s="7">
        <v>2.02</v>
      </c>
      <c r="AG31" s="7">
        <v>9.27</v>
      </c>
      <c r="AH31" s="8">
        <v>10.24</v>
      </c>
      <c r="AI31" s="8">
        <v>49.87</v>
      </c>
      <c r="AJ31" s="7">
        <v>0.751</v>
      </c>
      <c r="AK31" s="7">
        <v>5.5179999999999998</v>
      </c>
      <c r="AL31" s="7"/>
      <c r="AM31" s="7"/>
      <c r="AN31" s="7"/>
      <c r="AO31" s="7"/>
      <c r="AP31" s="7"/>
      <c r="AQ31" s="7"/>
      <c r="AR31" s="7">
        <v>1.01</v>
      </c>
      <c r="AS31" s="7">
        <v>9.08</v>
      </c>
      <c r="AT31" s="7"/>
      <c r="AU31" s="7"/>
      <c r="AV31" s="7"/>
      <c r="AW31" s="7">
        <v>6.2160000000000002</v>
      </c>
      <c r="AX31" s="7">
        <v>25.658999999999999</v>
      </c>
      <c r="AY31" s="25">
        <f t="shared" si="0"/>
        <v>29.148000000000003</v>
      </c>
      <c r="AZ31" s="25">
        <f t="shared" si="1"/>
        <v>130.06</v>
      </c>
    </row>
    <row r="32" spans="1:52" ht="18" customHeight="1" x14ac:dyDescent="0.25">
      <c r="A32" s="3" t="s">
        <v>36</v>
      </c>
      <c r="B32" s="7">
        <v>14.1235</v>
      </c>
      <c r="C32" s="7">
        <v>363.90659999999997</v>
      </c>
      <c r="D32" s="7">
        <v>1.3407</v>
      </c>
      <c r="E32" s="7">
        <v>26.7471</v>
      </c>
      <c r="F32" s="7">
        <v>0.33300000000000002</v>
      </c>
      <c r="G32" s="7">
        <v>7.0430000000000001</v>
      </c>
      <c r="H32" s="7">
        <v>11.13</v>
      </c>
      <c r="I32" s="7">
        <v>104.85499999999999</v>
      </c>
      <c r="J32" s="7">
        <v>1.1200000000000001</v>
      </c>
      <c r="K32" s="7">
        <v>62.663699999999999</v>
      </c>
      <c r="L32" s="23">
        <v>4.0000000000000001E-3</v>
      </c>
      <c r="M32" s="7">
        <v>2.4E-2</v>
      </c>
      <c r="N32" s="7">
        <v>3.411</v>
      </c>
      <c r="O32" s="7">
        <v>125.57</v>
      </c>
      <c r="P32" s="7">
        <v>1.0195000000000001</v>
      </c>
      <c r="Q32" s="7">
        <v>24.081799999999998</v>
      </c>
      <c r="R32" s="7">
        <v>0.52739999999999998</v>
      </c>
      <c r="S32" s="7">
        <v>5.6208</v>
      </c>
      <c r="T32" s="7"/>
      <c r="U32" s="7"/>
      <c r="V32" s="7">
        <v>0.94</v>
      </c>
      <c r="W32" s="7">
        <v>34.593999999999994</v>
      </c>
      <c r="X32" s="7">
        <v>0.24909999999999999</v>
      </c>
      <c r="Y32" s="7">
        <v>7.9733999999999998</v>
      </c>
      <c r="Z32" s="7">
        <v>7.9960000000000004</v>
      </c>
      <c r="AA32" s="7">
        <v>56.76</v>
      </c>
      <c r="AB32" s="8">
        <v>25.738</v>
      </c>
      <c r="AC32" s="8">
        <v>259.63</v>
      </c>
      <c r="AD32" s="8">
        <v>0.27800000000000002</v>
      </c>
      <c r="AE32" s="8">
        <v>5.8730000000000002</v>
      </c>
      <c r="AF32" s="7">
        <v>0.12230000000000001</v>
      </c>
      <c r="AG32" s="7">
        <v>2.1901000000000002</v>
      </c>
      <c r="AH32" s="23">
        <v>6.0963000000000003</v>
      </c>
      <c r="AI32" s="23">
        <v>130.55499999999998</v>
      </c>
      <c r="AJ32" s="7">
        <v>0.59499999999999997</v>
      </c>
      <c r="AK32" s="7">
        <v>21.0655</v>
      </c>
      <c r="AL32" s="7">
        <v>0.91500000000000004</v>
      </c>
      <c r="AM32" s="7">
        <v>24.88</v>
      </c>
      <c r="AN32" s="7">
        <v>0.60899999999999999</v>
      </c>
      <c r="AO32" s="7">
        <v>13.494999999999999</v>
      </c>
      <c r="AP32" s="7">
        <v>86.049000000000007</v>
      </c>
      <c r="AQ32" s="7">
        <v>2699.7788999999998</v>
      </c>
      <c r="AR32" s="7">
        <v>25.374300000000002</v>
      </c>
      <c r="AS32" s="7">
        <v>328.202</v>
      </c>
      <c r="AT32" s="7">
        <v>4.4690000000000003</v>
      </c>
      <c r="AU32" s="7">
        <v>168.81820000000002</v>
      </c>
      <c r="AV32" s="7">
        <v>0.02</v>
      </c>
      <c r="AW32" s="7">
        <f>87.147+0.378+0.731+1.592+0.546+1.331+0.641</f>
        <v>92.366000000000014</v>
      </c>
      <c r="AX32" s="7">
        <f>2930.973+8.869+13.115+30.265+12.562+42.456+8.435</f>
        <v>3046.6749999999997</v>
      </c>
      <c r="AY32" s="25">
        <f t="shared" si="0"/>
        <v>284.80610000000001</v>
      </c>
      <c r="AZ32" s="25">
        <f t="shared" si="1"/>
        <v>7521.0221000000001</v>
      </c>
    </row>
    <row r="33" spans="1:52" ht="18" customHeight="1" x14ac:dyDescent="0.25">
      <c r="A33" s="65" t="s">
        <v>218</v>
      </c>
      <c r="B33" s="7">
        <v>5.8150000000000004</v>
      </c>
      <c r="C33" s="7">
        <v>63.905999999999999</v>
      </c>
      <c r="D33" s="7">
        <v>5.1609999999999996</v>
      </c>
      <c r="E33" s="7">
        <v>56.456000000000003</v>
      </c>
      <c r="F33" s="7">
        <v>4.8940000000000001</v>
      </c>
      <c r="G33" s="7">
        <v>51.774000000000001</v>
      </c>
      <c r="H33" s="7">
        <v>10.997999999999999</v>
      </c>
      <c r="I33" s="7">
        <v>221.85400000000001</v>
      </c>
      <c r="J33" s="7">
        <v>3.92</v>
      </c>
      <c r="K33" s="7">
        <v>58.69</v>
      </c>
      <c r="L33" s="7">
        <v>0.502</v>
      </c>
      <c r="M33" s="7">
        <v>5.65</v>
      </c>
      <c r="N33" s="7">
        <v>4.5739999999999998</v>
      </c>
      <c r="O33" s="7">
        <v>45.837000000000003</v>
      </c>
      <c r="P33" s="7">
        <v>1.802</v>
      </c>
      <c r="Q33" s="7">
        <v>20.221</v>
      </c>
      <c r="R33" s="7">
        <v>3.6190000000000002</v>
      </c>
      <c r="S33" s="7">
        <v>61.058999999999997</v>
      </c>
      <c r="T33" s="7">
        <v>6.72</v>
      </c>
      <c r="U33" s="7">
        <v>118.124</v>
      </c>
      <c r="V33" s="7"/>
      <c r="W33" s="7"/>
      <c r="X33" s="7">
        <v>2.3E-2</v>
      </c>
      <c r="Y33" s="7">
        <v>0.23</v>
      </c>
      <c r="Z33" s="7">
        <v>18.715</v>
      </c>
      <c r="AA33" s="7">
        <v>270.94200000000001</v>
      </c>
      <c r="AB33" s="82">
        <v>23.850999999999999</v>
      </c>
      <c r="AC33" s="82">
        <v>450.54199999999997</v>
      </c>
      <c r="AD33" s="7"/>
      <c r="AE33" s="7"/>
      <c r="AF33" s="7">
        <v>0.106</v>
      </c>
      <c r="AG33" s="7">
        <v>1.06</v>
      </c>
      <c r="AH33" s="8">
        <v>5.085</v>
      </c>
      <c r="AI33" s="8">
        <v>106.11</v>
      </c>
      <c r="AJ33" s="7"/>
      <c r="AK33" s="7"/>
      <c r="AL33" s="7"/>
      <c r="AM33" s="7"/>
      <c r="AN33" s="7"/>
      <c r="AO33" s="7"/>
      <c r="AP33" s="7"/>
      <c r="AQ33" s="7"/>
      <c r="AR33" s="27">
        <v>53.185000000000002</v>
      </c>
      <c r="AS33" s="27">
        <v>1080.6110000000001</v>
      </c>
      <c r="AT33" s="7">
        <v>2.0659999999999998</v>
      </c>
      <c r="AU33" s="7">
        <v>38.253999999999998</v>
      </c>
      <c r="AV33" s="7"/>
      <c r="AW33" s="7">
        <f>21.802+4.193+2.628</f>
        <v>28.622999999999998</v>
      </c>
      <c r="AX33" s="7">
        <f>296.503+36.963+20.543</f>
        <v>354.00900000000001</v>
      </c>
      <c r="AY33" s="25">
        <f t="shared" si="0"/>
        <v>179.65899999999996</v>
      </c>
      <c r="AZ33" s="25">
        <f t="shared" si="1"/>
        <v>3005.3289999999997</v>
      </c>
    </row>
    <row r="34" spans="1:52" ht="18" customHeight="1" x14ac:dyDescent="0.25">
      <c r="A34" s="3" t="s">
        <v>37</v>
      </c>
      <c r="B34" s="7">
        <v>1.6919999999999999</v>
      </c>
      <c r="C34" s="7">
        <v>19.07</v>
      </c>
      <c r="D34" s="7">
        <v>0.80300000000000005</v>
      </c>
      <c r="E34" s="7">
        <v>7.6890000000000001</v>
      </c>
      <c r="F34" s="7">
        <v>1.929</v>
      </c>
      <c r="G34" s="7">
        <v>39.975000000000001</v>
      </c>
      <c r="H34" s="7">
        <v>3.7090000000000001</v>
      </c>
      <c r="I34" s="7">
        <v>56.250999999999998</v>
      </c>
      <c r="J34" s="7">
        <v>3.2759999999999998</v>
      </c>
      <c r="K34" s="7">
        <v>86.188999999999993</v>
      </c>
      <c r="L34" s="7">
        <v>0.13600000000000001</v>
      </c>
      <c r="M34" s="7">
        <v>1.0589999999999999</v>
      </c>
      <c r="N34" s="7">
        <v>0.372</v>
      </c>
      <c r="O34" s="7">
        <v>4.4560000000000004</v>
      </c>
      <c r="P34" s="7">
        <v>2.7930000000000001</v>
      </c>
      <c r="Q34" s="7">
        <v>57.72</v>
      </c>
      <c r="R34" s="7">
        <v>1.6319999999999999</v>
      </c>
      <c r="S34" s="7">
        <v>16.965</v>
      </c>
      <c r="T34" s="7">
        <v>2.383</v>
      </c>
      <c r="U34" s="7">
        <v>18.547999999999998</v>
      </c>
      <c r="V34" s="7">
        <v>6.0999999999999999E-2</v>
      </c>
      <c r="W34" s="7">
        <v>1.405</v>
      </c>
      <c r="X34" s="7"/>
      <c r="Y34" s="7"/>
      <c r="Z34" s="7">
        <v>1.7330000000000001</v>
      </c>
      <c r="AA34" s="7">
        <v>16.733000000000001</v>
      </c>
      <c r="AB34" s="8">
        <v>0.38</v>
      </c>
      <c r="AC34" s="8">
        <v>2.5880000000000001</v>
      </c>
      <c r="AD34" s="7">
        <v>0.499</v>
      </c>
      <c r="AE34" s="7">
        <v>5.9379999999999997</v>
      </c>
      <c r="AF34" s="7">
        <v>0.45900000000000002</v>
      </c>
      <c r="AG34" s="7">
        <v>1.7669999999999999</v>
      </c>
      <c r="AH34" s="8">
        <v>9.0399999999999991</v>
      </c>
      <c r="AI34" s="8">
        <v>159.46600000000001</v>
      </c>
      <c r="AJ34" s="7">
        <v>3.2360000000000002</v>
      </c>
      <c r="AK34" s="7">
        <v>62.46</v>
      </c>
      <c r="AL34" s="7">
        <v>0.83499999999999996</v>
      </c>
      <c r="AM34" s="7">
        <v>16.715</v>
      </c>
      <c r="AN34" s="7"/>
      <c r="AO34" s="7"/>
      <c r="AP34" s="7"/>
      <c r="AQ34" s="7"/>
      <c r="AR34" s="7">
        <v>1.8280000000000001</v>
      </c>
      <c r="AS34" s="7">
        <v>44.029000000000003</v>
      </c>
      <c r="AT34" s="7">
        <v>0.97699999999999998</v>
      </c>
      <c r="AU34" s="7">
        <v>25.446999999999999</v>
      </c>
      <c r="AV34" s="7"/>
      <c r="AW34" s="7">
        <f>0.61+0.064+0.144+1.269+1.911+1.096+5.744</f>
        <v>10.837999999999999</v>
      </c>
      <c r="AX34" s="7">
        <f>10.391+0.426+0.321+21.14+27.404+19.653+87.286</f>
        <v>166.62100000000001</v>
      </c>
      <c r="AY34" s="25">
        <f t="shared" si="0"/>
        <v>48.610999999999997</v>
      </c>
      <c r="AZ34" s="25">
        <f t="shared" si="1"/>
        <v>811.09100000000001</v>
      </c>
    </row>
    <row r="35" spans="1:52" ht="18" customHeight="1" x14ac:dyDescent="0.25">
      <c r="A35" s="3" t="s">
        <v>38</v>
      </c>
      <c r="B35" s="7">
        <v>1.4999999999999999E-2</v>
      </c>
      <c r="C35" s="7">
        <v>0.375</v>
      </c>
      <c r="D35" s="7">
        <v>1.657</v>
      </c>
      <c r="E35" s="7">
        <v>31.000999999999998</v>
      </c>
      <c r="F35" s="7">
        <v>9.5210000000000008</v>
      </c>
      <c r="G35" s="7">
        <v>270.33699999999999</v>
      </c>
      <c r="H35" s="7">
        <v>4.5129999999999999</v>
      </c>
      <c r="I35" s="7">
        <v>154.738</v>
      </c>
      <c r="J35" s="7">
        <v>2.3490000000000002</v>
      </c>
      <c r="K35" s="7">
        <v>82.05</v>
      </c>
      <c r="M35" s="7"/>
      <c r="N35" s="7">
        <v>4.7450000000000001</v>
      </c>
      <c r="O35" s="7">
        <v>118.093</v>
      </c>
      <c r="P35" s="7">
        <v>11.201000000000001</v>
      </c>
      <c r="Q35" s="7">
        <v>254.892</v>
      </c>
      <c r="R35" s="7">
        <v>0.04</v>
      </c>
      <c r="S35" s="7">
        <v>1</v>
      </c>
      <c r="T35" s="7"/>
      <c r="U35" s="7"/>
      <c r="V35" s="7"/>
      <c r="W35" s="7"/>
      <c r="X35" s="7">
        <v>20.114999999999998</v>
      </c>
      <c r="Y35" s="7">
        <v>522.99</v>
      </c>
      <c r="Z35" s="7">
        <v>15.618</v>
      </c>
      <c r="AA35" s="7">
        <v>207.97499999999999</v>
      </c>
      <c r="AB35" s="8">
        <v>24.466999999999999</v>
      </c>
      <c r="AC35" s="8">
        <v>413.60199999999998</v>
      </c>
      <c r="AD35" s="7">
        <v>1.4790000000000001</v>
      </c>
      <c r="AE35" s="7">
        <v>39.363</v>
      </c>
      <c r="AF35" s="7">
        <v>216.38499999999999</v>
      </c>
      <c r="AG35" s="7">
        <v>2454.0700000000002</v>
      </c>
      <c r="AH35" s="91">
        <v>607.32100000000003</v>
      </c>
      <c r="AI35" s="91">
        <v>14879.34</v>
      </c>
      <c r="AJ35" s="7">
        <v>2.9489999999999998</v>
      </c>
      <c r="AK35" s="7">
        <v>75.828000000000003</v>
      </c>
      <c r="AL35" s="7">
        <v>7.6929999999999996</v>
      </c>
      <c r="AM35" s="7">
        <v>293.05</v>
      </c>
      <c r="AN35" s="23">
        <v>16.901</v>
      </c>
      <c r="AO35" s="23">
        <v>331.41500000000002</v>
      </c>
      <c r="AR35" s="7">
        <v>10.476000000000001</v>
      </c>
      <c r="AS35" s="7">
        <v>413.82499999999999</v>
      </c>
      <c r="AT35" s="7">
        <v>12.858000000000001</v>
      </c>
      <c r="AU35" s="7">
        <v>578.61</v>
      </c>
      <c r="AV35" s="7">
        <v>12.65</v>
      </c>
      <c r="AW35" s="7">
        <f>184.394+0.428+8.345+0.04+0.04</f>
        <v>193.24699999999999</v>
      </c>
      <c r="AX35" s="7">
        <f>4766.254+15.089+201.097+1.2+1.34</f>
        <v>4984.9799999999996</v>
      </c>
      <c r="AY35" s="25">
        <f t="shared" si="0"/>
        <v>1163.55</v>
      </c>
      <c r="AZ35" s="25">
        <f t="shared" si="1"/>
        <v>26120.184000000005</v>
      </c>
    </row>
    <row r="36" spans="1:52" ht="18" customHeight="1" x14ac:dyDescent="0.25">
      <c r="A36" s="3" t="s">
        <v>88</v>
      </c>
      <c r="B36" s="7">
        <v>5.9329999999999998</v>
      </c>
      <c r="C36" s="7">
        <v>40.186999999999998</v>
      </c>
      <c r="D36" s="7"/>
      <c r="E36" s="7"/>
      <c r="F36" s="7"/>
      <c r="G36" s="7"/>
      <c r="H36" s="7">
        <v>3.8610000000000002</v>
      </c>
      <c r="I36" s="7">
        <v>29.655999999999999</v>
      </c>
      <c r="J36" s="7">
        <v>6.3970000000000002</v>
      </c>
      <c r="K36" s="7">
        <v>74.983000000000004</v>
      </c>
      <c r="L36" s="7">
        <v>2.7360000000000002</v>
      </c>
      <c r="M36" s="7">
        <v>14.608000000000001</v>
      </c>
      <c r="N36" s="7"/>
      <c r="O36" s="7"/>
      <c r="P36" s="7">
        <v>3.1659999999999999</v>
      </c>
      <c r="Q36" s="7">
        <v>38.32</v>
      </c>
      <c r="R36" s="7"/>
      <c r="S36" s="7"/>
      <c r="T36" s="7"/>
      <c r="U36" s="7"/>
      <c r="V36" s="7"/>
      <c r="W36" s="7"/>
      <c r="X36" s="7"/>
      <c r="Y36" s="7"/>
      <c r="Z36" s="7">
        <v>3.7309999999999999</v>
      </c>
      <c r="AA36" s="7">
        <v>27.312000000000001</v>
      </c>
      <c r="AB36" s="8">
        <v>4.3780000000000001</v>
      </c>
      <c r="AC36" s="8">
        <v>41.277000000000001</v>
      </c>
      <c r="AD36" s="7"/>
      <c r="AE36" s="7"/>
      <c r="AF36" s="7">
        <v>12.872999999999999</v>
      </c>
      <c r="AG36" s="7">
        <v>87.391999999999996</v>
      </c>
      <c r="AH36" s="8">
        <v>28.36</v>
      </c>
      <c r="AI36" s="8">
        <v>452.495</v>
      </c>
      <c r="AJ36" s="7">
        <v>5.2720000000000002</v>
      </c>
      <c r="AK36" s="7">
        <v>59.93</v>
      </c>
      <c r="AL36" s="7"/>
      <c r="AM36" s="7"/>
      <c r="AN36" s="7"/>
      <c r="AO36" s="7"/>
      <c r="AP36" s="7"/>
      <c r="AQ36" s="7"/>
      <c r="AR36" s="7">
        <v>9.4580000000000002</v>
      </c>
      <c r="AS36" s="7">
        <v>115.413</v>
      </c>
      <c r="AT36" s="7"/>
      <c r="AU36" s="7"/>
      <c r="AV36" s="7"/>
      <c r="AW36" s="7">
        <v>14.534000000000001</v>
      </c>
      <c r="AX36" s="7">
        <v>128.08000000000001</v>
      </c>
      <c r="AY36" s="25">
        <f t="shared" si="0"/>
        <v>100.69900000000001</v>
      </c>
      <c r="AZ36" s="25">
        <f t="shared" si="1"/>
        <v>1109.653</v>
      </c>
    </row>
    <row r="37" spans="1:52" ht="18" customHeight="1" x14ac:dyDescent="0.25">
      <c r="A37" s="3" t="s">
        <v>39</v>
      </c>
      <c r="B37" s="7">
        <v>23.4</v>
      </c>
      <c r="C37" s="7">
        <v>129.05099999999999</v>
      </c>
      <c r="D37" s="7"/>
      <c r="E37" s="7"/>
      <c r="F37" s="7"/>
      <c r="G37" s="7"/>
      <c r="H37" s="7">
        <v>161.9</v>
      </c>
      <c r="I37" s="7">
        <v>2985.4360000000001</v>
      </c>
      <c r="J37" s="7">
        <v>78.55</v>
      </c>
      <c r="K37" s="7">
        <v>2207.2350000000001</v>
      </c>
      <c r="L37" s="7"/>
      <c r="M37" s="7"/>
      <c r="N37" s="7"/>
      <c r="O37" s="7"/>
      <c r="P37" s="7">
        <v>74</v>
      </c>
      <c r="Q37" s="7">
        <v>1889.96</v>
      </c>
      <c r="R37" s="7"/>
      <c r="S37" s="7"/>
      <c r="T37" s="7"/>
      <c r="U37" s="7"/>
      <c r="V37" s="7">
        <v>13.83</v>
      </c>
      <c r="W37" s="7">
        <v>286.82900000000001</v>
      </c>
      <c r="X37" s="7"/>
      <c r="Y37" s="7"/>
      <c r="Z37" s="7">
        <v>75.45</v>
      </c>
      <c r="AA37" s="7">
        <v>882.38800000000003</v>
      </c>
      <c r="AB37" s="8">
        <v>25.306000000000001</v>
      </c>
      <c r="AC37" s="8">
        <v>380.154</v>
      </c>
      <c r="AD37" s="7"/>
      <c r="AE37" s="7"/>
      <c r="AF37" s="7">
        <v>22.1</v>
      </c>
      <c r="AG37" s="7">
        <v>134.92099999999999</v>
      </c>
      <c r="AH37" s="8">
        <v>412.2</v>
      </c>
      <c r="AI37" s="8">
        <v>12027</v>
      </c>
      <c r="AJ37" s="7">
        <v>40.950000000000003</v>
      </c>
      <c r="AK37" s="7">
        <v>502.04700000000003</v>
      </c>
      <c r="AL37" s="7"/>
      <c r="AM37" s="7"/>
      <c r="AN37" s="7">
        <v>22.85</v>
      </c>
      <c r="AO37" s="7">
        <v>242.376</v>
      </c>
      <c r="AP37" s="7"/>
      <c r="AQ37" s="7"/>
      <c r="AR37" s="7">
        <v>56.9</v>
      </c>
      <c r="AS37" s="7">
        <v>1149.585</v>
      </c>
      <c r="AT37" s="7">
        <v>16.59</v>
      </c>
      <c r="AU37" s="7">
        <v>223.964</v>
      </c>
      <c r="AV37" s="7"/>
      <c r="AW37" s="7">
        <f>342.97+20.2</f>
        <v>363.17</v>
      </c>
      <c r="AX37" s="7">
        <f>2939.159+374.5</f>
        <v>3313.6590000000001</v>
      </c>
      <c r="AY37" s="25">
        <f t="shared" si="0"/>
        <v>1387.1960000000001</v>
      </c>
      <c r="AZ37" s="25">
        <f t="shared" si="1"/>
        <v>26354.605</v>
      </c>
    </row>
    <row r="38" spans="1:52" ht="18" customHeight="1" x14ac:dyDescent="0.25">
      <c r="A38" s="3" t="s">
        <v>9</v>
      </c>
      <c r="B38" s="25">
        <f>SUM(B3:B37)</f>
        <v>218.08440000000004</v>
      </c>
      <c r="C38" s="25">
        <f t="shared" ref="C38:AZ38" si="2">SUM(C3:C37)</f>
        <v>2203.9425999999999</v>
      </c>
      <c r="D38" s="25">
        <f t="shared" si="2"/>
        <v>75.889799999999994</v>
      </c>
      <c r="E38" s="25">
        <f t="shared" si="2"/>
        <v>769.58149999999989</v>
      </c>
      <c r="F38" s="25">
        <f t="shared" si="2"/>
        <v>108.30220000000001</v>
      </c>
      <c r="G38" s="25">
        <f t="shared" si="2"/>
        <v>1826.3962500000002</v>
      </c>
      <c r="H38" s="25">
        <f t="shared" si="2"/>
        <v>673.07320000000004</v>
      </c>
      <c r="I38" s="25">
        <f t="shared" si="2"/>
        <v>12588.544980000001</v>
      </c>
      <c r="J38" s="25">
        <f t="shared" si="2"/>
        <v>385.60939999999999</v>
      </c>
      <c r="K38" s="25">
        <f t="shared" si="2"/>
        <v>8584.7875499999991</v>
      </c>
      <c r="L38" s="25">
        <f t="shared" si="2"/>
        <v>32.145059999999994</v>
      </c>
      <c r="M38" s="25">
        <f t="shared" si="2"/>
        <v>182.50330000000002</v>
      </c>
      <c r="N38" s="25">
        <f t="shared" si="2"/>
        <v>64.203500000000005</v>
      </c>
      <c r="O38" s="25">
        <f t="shared" si="2"/>
        <v>968.3755000000001</v>
      </c>
      <c r="P38" s="25">
        <f t="shared" si="2"/>
        <v>410.89920000000001</v>
      </c>
      <c r="Q38" s="25">
        <f t="shared" si="2"/>
        <v>7925.8496799999994</v>
      </c>
      <c r="R38" s="25">
        <f t="shared" si="2"/>
        <v>42.798300000000005</v>
      </c>
      <c r="S38" s="25">
        <f t="shared" si="2"/>
        <v>677.99894999999992</v>
      </c>
      <c r="T38" s="25">
        <f t="shared" si="2"/>
        <v>181.3981</v>
      </c>
      <c r="U38" s="25">
        <f t="shared" si="2"/>
        <v>1997.6588200000003</v>
      </c>
      <c r="V38" s="25">
        <f t="shared" si="2"/>
        <v>24.2273</v>
      </c>
      <c r="W38" s="25">
        <f t="shared" si="2"/>
        <v>677.68279999999993</v>
      </c>
      <c r="X38" s="25">
        <f t="shared" si="2"/>
        <v>42.069099999999999</v>
      </c>
      <c r="Y38" s="25">
        <f t="shared" si="2"/>
        <v>862.67840000000001</v>
      </c>
      <c r="Z38" s="25">
        <f t="shared" si="2"/>
        <v>503.6816</v>
      </c>
      <c r="AA38" s="25">
        <f t="shared" si="2"/>
        <v>5708.6938000000018</v>
      </c>
      <c r="AB38" s="25">
        <f t="shared" si="2"/>
        <v>1173.3489999999999</v>
      </c>
      <c r="AC38" s="25">
        <f t="shared" si="2"/>
        <v>18927.413</v>
      </c>
      <c r="AD38" s="25">
        <f t="shared" si="2"/>
        <v>17.548500000000001</v>
      </c>
      <c r="AE38" s="25">
        <f t="shared" si="2"/>
        <v>346.54199999999997</v>
      </c>
      <c r="AF38" s="25">
        <f t="shared" si="2"/>
        <v>475.89020000000005</v>
      </c>
      <c r="AG38" s="25">
        <f t="shared" si="2"/>
        <v>4651.5341000000008</v>
      </c>
      <c r="AH38" s="25">
        <f t="shared" si="2"/>
        <v>2075.8843000000002</v>
      </c>
      <c r="AI38" s="25">
        <f t="shared" si="2"/>
        <v>48009.189999999995</v>
      </c>
      <c r="AJ38" s="25">
        <f t="shared" si="2"/>
        <v>168.37900000000002</v>
      </c>
      <c r="AK38" s="25">
        <f t="shared" si="2"/>
        <v>2307.4525000000003</v>
      </c>
      <c r="AL38" s="25">
        <f t="shared" si="2"/>
        <v>49.015599999999999</v>
      </c>
      <c r="AM38" s="25">
        <f t="shared" si="2"/>
        <v>1122.4715200000001</v>
      </c>
      <c r="AN38" s="25">
        <f t="shared" si="2"/>
        <v>106.85299999999998</v>
      </c>
      <c r="AO38" s="25">
        <f t="shared" si="2"/>
        <v>1227.8087500000001</v>
      </c>
      <c r="AP38" s="25">
        <f t="shared" si="2"/>
        <v>207.58780000000002</v>
      </c>
      <c r="AQ38" s="25">
        <f t="shared" si="2"/>
        <v>4372.6849000000002</v>
      </c>
      <c r="AR38" s="25">
        <f t="shared" si="2"/>
        <v>767.31679999999994</v>
      </c>
      <c r="AS38" s="25">
        <f t="shared" si="2"/>
        <v>16384.980490000005</v>
      </c>
      <c r="AT38" s="25">
        <f t="shared" si="2"/>
        <v>83.583100000000002</v>
      </c>
      <c r="AU38" s="25">
        <f t="shared" si="2"/>
        <v>2049.2511999999997</v>
      </c>
      <c r="AV38" s="25">
        <f t="shared" si="2"/>
        <v>51.119830000000007</v>
      </c>
      <c r="AW38" s="25">
        <f t="shared" si="2"/>
        <v>1654.4444000000003</v>
      </c>
      <c r="AX38" s="25">
        <f t="shared" si="2"/>
        <v>25053.085739999999</v>
      </c>
      <c r="AY38" s="25">
        <f t="shared" si="2"/>
        <v>9542.2328600000001</v>
      </c>
      <c r="AZ38" s="25">
        <f t="shared" si="2"/>
        <v>169478.22816</v>
      </c>
    </row>
    <row r="39" spans="1:52" ht="18" customHeight="1" x14ac:dyDescent="0.25">
      <c r="A39" s="83" t="s">
        <v>267</v>
      </c>
      <c r="B39" s="140"/>
      <c r="C39" s="140"/>
      <c r="D39" s="140"/>
    </row>
    <row r="40" spans="1:52" ht="18" customHeight="1" x14ac:dyDescent="0.25">
      <c r="A40" s="83" t="s">
        <v>192</v>
      </c>
    </row>
  </sheetData>
  <mergeCells count="25">
    <mergeCell ref="AH1:AI1"/>
    <mergeCell ref="AJ1:AK1"/>
    <mergeCell ref="AY1:AZ1"/>
    <mergeCell ref="AL1:AM1"/>
    <mergeCell ref="AN1:AO1"/>
    <mergeCell ref="AP1:AQ1"/>
    <mergeCell ref="AR1:AS1"/>
    <mergeCell ref="AT1:AU1"/>
    <mergeCell ref="AW1:AX1"/>
    <mergeCell ref="R1:S1"/>
    <mergeCell ref="X1:Y1"/>
    <mergeCell ref="AD1:AE1"/>
    <mergeCell ref="AF1:AG1"/>
    <mergeCell ref="Z1:AA1"/>
    <mergeCell ref="AB1:AC1"/>
    <mergeCell ref="T1:U1"/>
    <mergeCell ref="V1:W1"/>
    <mergeCell ref="J1:K1"/>
    <mergeCell ref="L1:M1"/>
    <mergeCell ref="N1:O1"/>
    <mergeCell ref="P1:Q1"/>
    <mergeCell ref="B1:C1"/>
    <mergeCell ref="D1:E1"/>
    <mergeCell ref="F1:G1"/>
    <mergeCell ref="H1:I1"/>
  </mergeCells>
  <phoneticPr fontId="20" type="noConversion"/>
  <printOptions horizontalCentered="1" verticalCentered="1"/>
  <pageMargins left="0.15748031496063" right="0.23622047244094499" top="0.43307086614173201" bottom="0.23622047244094499" header="0.70866141732283505" footer="0.23622047244094499"/>
  <pageSetup paperSize="9" scale="60" orientation="landscape" r:id="rId1"/>
  <headerFooter alignWithMargins="0">
    <oddHeader xml:space="preserve">&amp;C&amp;"-,Bold"&amp;14&amp;UArea and Production of &amp;"Arial,Bold"Vegetable Crops 2014-15 (Final)&amp;R&amp;"Arial,Bold"Area in  '  000 Ha 
Production in '000  MT </oddHeader>
  </headerFooter>
  <rowBreaks count="1" manualBreakCount="1">
    <brk id="38" max="51" man="1"/>
  </rowBreaks>
  <colBreaks count="3" manualBreakCount="3">
    <brk id="19" max="38" man="1"/>
    <brk id="35" max="37" man="1"/>
    <brk id="5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A39" sqref="A39:A40"/>
    </sheetView>
  </sheetViews>
  <sheetFormatPr defaultRowHeight="17.25" customHeight="1" x14ac:dyDescent="0.25"/>
  <cols>
    <col min="1" max="1" width="23.85546875" style="14" customWidth="1"/>
    <col min="2" max="3" width="13.85546875" style="14" customWidth="1"/>
    <col min="4" max="4" width="14.7109375" style="14" customWidth="1"/>
    <col min="5" max="7" width="13.85546875" style="14" customWidth="1"/>
    <col min="8" max="8" width="14.42578125" style="14" customWidth="1"/>
    <col min="9" max="9" width="15.42578125" style="14" customWidth="1"/>
    <col min="10" max="11" width="15.85546875" style="14" customWidth="1"/>
    <col min="12" max="13" width="15.42578125" style="14" bestFit="1" customWidth="1"/>
    <col min="14" max="16384" width="9.140625" style="14"/>
  </cols>
  <sheetData>
    <row r="1" spans="1:11" ht="22.5" customHeight="1" x14ac:dyDescent="0.25">
      <c r="A1" s="60" t="s">
        <v>188</v>
      </c>
      <c r="B1" s="173" t="s">
        <v>120</v>
      </c>
      <c r="C1" s="173"/>
      <c r="D1" s="157" t="s">
        <v>121</v>
      </c>
      <c r="E1" s="157"/>
      <c r="F1" s="157" t="s">
        <v>122</v>
      </c>
      <c r="G1" s="157"/>
      <c r="H1" s="157" t="s">
        <v>123</v>
      </c>
      <c r="I1" s="157"/>
      <c r="J1" s="157" t="s">
        <v>9</v>
      </c>
      <c r="K1" s="157"/>
    </row>
    <row r="2" spans="1:11" ht="16.5" customHeight="1" x14ac:dyDescent="0.25">
      <c r="A2" s="15"/>
      <c r="B2" s="60" t="s">
        <v>47</v>
      </c>
      <c r="C2" s="60" t="s">
        <v>10</v>
      </c>
      <c r="D2" s="60" t="s">
        <v>47</v>
      </c>
      <c r="E2" s="60" t="s">
        <v>10</v>
      </c>
      <c r="F2" s="60" t="s">
        <v>47</v>
      </c>
      <c r="G2" s="60" t="s">
        <v>10</v>
      </c>
      <c r="H2" s="60" t="s">
        <v>47</v>
      </c>
      <c r="I2" s="60" t="s">
        <v>10</v>
      </c>
      <c r="J2" s="60" t="s">
        <v>47</v>
      </c>
      <c r="K2" s="60" t="s">
        <v>10</v>
      </c>
    </row>
    <row r="3" spans="1:11" ht="16.5" customHeight="1" x14ac:dyDescent="0.25">
      <c r="A3" s="16" t="s">
        <v>11</v>
      </c>
      <c r="B3" s="5">
        <v>4.2300000000000004</v>
      </c>
      <c r="C3" s="5">
        <v>5.88</v>
      </c>
      <c r="D3" s="5">
        <v>1.133</v>
      </c>
      <c r="E3" s="5">
        <v>0.33300000000000002</v>
      </c>
      <c r="F3" s="5"/>
      <c r="G3" s="5"/>
      <c r="H3" s="5">
        <v>21.91</v>
      </c>
      <c r="I3" s="5">
        <v>89.31</v>
      </c>
      <c r="J3" s="51">
        <f>B3+D3+F3+H3</f>
        <v>27.273</v>
      </c>
      <c r="K3" s="51">
        <f>C3+E3+G3+I3</f>
        <v>95.522999999999996</v>
      </c>
    </row>
    <row r="4" spans="1:11" ht="16.5" customHeight="1" x14ac:dyDescent="0.25">
      <c r="A4" s="16" t="s">
        <v>12</v>
      </c>
      <c r="B4" s="5">
        <v>0.48</v>
      </c>
      <c r="C4" s="5">
        <v>0.34</v>
      </c>
      <c r="D4" s="5">
        <v>185.45</v>
      </c>
      <c r="E4" s="5">
        <v>100</v>
      </c>
      <c r="F4" s="5">
        <v>23.484999999999999</v>
      </c>
      <c r="G4" s="5">
        <v>6.3</v>
      </c>
      <c r="H4" s="5">
        <v>105.98699999999999</v>
      </c>
      <c r="I4" s="5">
        <v>1007.27</v>
      </c>
      <c r="J4" s="51">
        <f t="shared" ref="J4:J37" si="0">B4+D4+F4+H4</f>
        <v>315.40199999999993</v>
      </c>
      <c r="K4" s="51">
        <f t="shared" ref="K4:K37" si="1">C4+E4+G4+I4</f>
        <v>1113.9100000000001</v>
      </c>
    </row>
    <row r="5" spans="1:11" ht="16.5" customHeight="1" x14ac:dyDescent="0.25">
      <c r="A5" s="18" t="s">
        <v>13</v>
      </c>
      <c r="B5" s="5"/>
      <c r="C5" s="5"/>
      <c r="D5" s="5"/>
      <c r="E5" s="5"/>
      <c r="F5" s="5"/>
      <c r="G5" s="5"/>
      <c r="H5" s="5"/>
      <c r="I5" s="5"/>
      <c r="J5" s="51"/>
      <c r="K5" s="51"/>
    </row>
    <row r="6" spans="1:11" ht="16.5" customHeight="1" x14ac:dyDescent="0.25">
      <c r="A6" s="16" t="s">
        <v>14</v>
      </c>
      <c r="B6" s="5">
        <v>76.569999999999993</v>
      </c>
      <c r="C6" s="5">
        <v>74.040000000000006</v>
      </c>
      <c r="D6" s="5">
        <v>1.05</v>
      </c>
      <c r="E6" s="5">
        <v>0.56999999999999995</v>
      </c>
      <c r="F6" s="5"/>
      <c r="G6" s="5"/>
      <c r="H6" s="5">
        <v>21.14</v>
      </c>
      <c r="I6" s="5">
        <v>163.453</v>
      </c>
      <c r="J6" s="51">
        <f t="shared" si="0"/>
        <v>98.759999999999991</v>
      </c>
      <c r="K6" s="51">
        <f t="shared" si="1"/>
        <v>238.06299999999999</v>
      </c>
    </row>
    <row r="7" spans="1:11" ht="16.5" customHeight="1" x14ac:dyDescent="0.25">
      <c r="A7" s="16" t="s">
        <v>15</v>
      </c>
      <c r="B7" s="5"/>
      <c r="C7" s="5"/>
      <c r="D7" s="5"/>
      <c r="E7" s="5"/>
      <c r="F7" s="5"/>
      <c r="G7" s="5"/>
      <c r="H7" s="5">
        <v>14.9</v>
      </c>
      <c r="I7" s="5">
        <v>97.3</v>
      </c>
      <c r="J7" s="51">
        <f t="shared" si="0"/>
        <v>14.9</v>
      </c>
      <c r="K7" s="51">
        <f t="shared" si="1"/>
        <v>97.3</v>
      </c>
    </row>
    <row r="8" spans="1:11" ht="16.5" customHeight="1" x14ac:dyDescent="0.25">
      <c r="A8" s="16" t="s">
        <v>54</v>
      </c>
      <c r="B8" s="5"/>
      <c r="C8" s="5"/>
      <c r="D8" s="5">
        <v>13.7</v>
      </c>
      <c r="E8" s="5">
        <v>8.5</v>
      </c>
      <c r="F8" s="5"/>
      <c r="G8" s="5"/>
      <c r="H8" s="5">
        <v>1.706</v>
      </c>
      <c r="I8" s="5">
        <v>19.169</v>
      </c>
      <c r="J8" s="51">
        <f t="shared" si="0"/>
        <v>15.405999999999999</v>
      </c>
      <c r="K8" s="51">
        <f t="shared" si="1"/>
        <v>27.669</v>
      </c>
    </row>
    <row r="9" spans="1:11" ht="16.5" customHeight="1" x14ac:dyDescent="0.25">
      <c r="A9" s="16" t="s">
        <v>16</v>
      </c>
      <c r="B9" s="5"/>
      <c r="C9" s="5"/>
      <c r="D9" s="5"/>
      <c r="E9" s="5"/>
      <c r="F9" s="5"/>
      <c r="G9" s="5"/>
      <c r="H9" s="5"/>
      <c r="I9" s="5"/>
      <c r="J9" s="51"/>
      <c r="K9" s="51"/>
    </row>
    <row r="10" spans="1:11" ht="16.5" customHeight="1" x14ac:dyDescent="0.25">
      <c r="A10" s="16" t="s">
        <v>17</v>
      </c>
      <c r="B10" s="5"/>
      <c r="C10" s="5"/>
      <c r="D10" s="5"/>
      <c r="E10" s="5"/>
      <c r="F10" s="5"/>
      <c r="G10" s="5"/>
      <c r="H10" s="5">
        <v>2E-3</v>
      </c>
      <c r="I10" s="5">
        <v>9.6300000000000008</v>
      </c>
      <c r="J10" s="51">
        <f t="shared" si="0"/>
        <v>2E-3</v>
      </c>
      <c r="K10" s="51">
        <f t="shared" si="1"/>
        <v>9.6300000000000008</v>
      </c>
    </row>
    <row r="11" spans="1:11" ht="16.5" customHeight="1" x14ac:dyDescent="0.25">
      <c r="A11" s="16" t="s">
        <v>18</v>
      </c>
      <c r="B11" s="5"/>
      <c r="C11" s="5"/>
      <c r="D11" s="5"/>
      <c r="E11" s="5"/>
      <c r="F11" s="5"/>
      <c r="G11" s="5"/>
      <c r="H11" s="5"/>
      <c r="I11" s="5"/>
      <c r="J11" s="51"/>
      <c r="K11" s="51"/>
    </row>
    <row r="12" spans="1:11" ht="16.5" customHeight="1" x14ac:dyDescent="0.25">
      <c r="A12" s="16" t="s">
        <v>19</v>
      </c>
      <c r="B12" s="5">
        <v>1.75</v>
      </c>
      <c r="C12" s="5">
        <v>2.9</v>
      </c>
      <c r="D12" s="5">
        <v>58.17</v>
      </c>
      <c r="E12" s="5">
        <v>32</v>
      </c>
      <c r="F12" s="5"/>
      <c r="G12" s="5"/>
      <c r="H12" s="5">
        <v>25.786000000000001</v>
      </c>
      <c r="I12" s="5">
        <v>87.9</v>
      </c>
      <c r="J12" s="51">
        <f t="shared" si="0"/>
        <v>85.706000000000003</v>
      </c>
      <c r="K12" s="51">
        <f t="shared" si="1"/>
        <v>122.80000000000001</v>
      </c>
    </row>
    <row r="13" spans="1:11" ht="16.5" customHeight="1" x14ac:dyDescent="0.25">
      <c r="A13" s="16" t="s">
        <v>20</v>
      </c>
      <c r="B13" s="5"/>
      <c r="C13" s="5"/>
      <c r="D13" s="5">
        <v>8.4220000000000006</v>
      </c>
      <c r="E13" s="5">
        <v>27.689</v>
      </c>
      <c r="F13" s="5"/>
      <c r="G13" s="5"/>
      <c r="H13" s="5">
        <v>31.63</v>
      </c>
      <c r="I13" s="5">
        <v>203.05</v>
      </c>
      <c r="J13" s="51">
        <f t="shared" si="0"/>
        <v>40.052</v>
      </c>
      <c r="K13" s="51">
        <f t="shared" si="1"/>
        <v>230.739</v>
      </c>
    </row>
    <row r="14" spans="1:11" ht="16.5" customHeight="1" x14ac:dyDescent="0.25">
      <c r="A14" s="16" t="s">
        <v>21</v>
      </c>
      <c r="B14" s="5"/>
      <c r="C14" s="5"/>
      <c r="D14" s="5"/>
      <c r="E14" s="5"/>
      <c r="F14" s="5"/>
      <c r="G14" s="5"/>
      <c r="H14" s="5"/>
      <c r="I14" s="5"/>
      <c r="J14" s="51"/>
      <c r="K14" s="51"/>
    </row>
    <row r="15" spans="1:11" ht="16.5" customHeight="1" x14ac:dyDescent="0.25">
      <c r="A15" s="16" t="s">
        <v>22</v>
      </c>
      <c r="B15" s="5"/>
      <c r="C15" s="5"/>
      <c r="D15" s="5"/>
      <c r="E15" s="5"/>
      <c r="F15" s="5"/>
      <c r="G15" s="5"/>
      <c r="H15" s="5"/>
      <c r="I15" s="5"/>
      <c r="J15" s="51"/>
      <c r="K15" s="51"/>
    </row>
    <row r="16" spans="1:11" ht="16.5" customHeight="1" x14ac:dyDescent="0.25">
      <c r="A16" s="16" t="s">
        <v>23</v>
      </c>
      <c r="B16" s="5"/>
      <c r="C16" s="5"/>
      <c r="D16" s="5"/>
      <c r="E16" s="5"/>
      <c r="F16" s="5"/>
      <c r="G16" s="5"/>
      <c r="H16" s="5"/>
      <c r="I16" s="5"/>
      <c r="J16" s="51"/>
      <c r="K16" s="51"/>
    </row>
    <row r="17" spans="1:11" ht="16.5" customHeight="1" x14ac:dyDescent="0.25">
      <c r="A17" s="16" t="s">
        <v>24</v>
      </c>
      <c r="B17" s="5"/>
      <c r="C17" s="5"/>
      <c r="D17" s="5">
        <v>14.83</v>
      </c>
      <c r="E17" s="5">
        <v>4.5</v>
      </c>
      <c r="F17" s="5"/>
      <c r="G17" s="5"/>
      <c r="H17" s="5"/>
      <c r="I17" s="5"/>
      <c r="J17" s="51">
        <f t="shared" si="0"/>
        <v>14.83</v>
      </c>
      <c r="K17" s="51">
        <f t="shared" si="1"/>
        <v>4.5</v>
      </c>
    </row>
    <row r="18" spans="1:11" s="83" customFormat="1" ht="16.5" customHeight="1" x14ac:dyDescent="0.25">
      <c r="A18" s="16" t="s">
        <v>159</v>
      </c>
      <c r="B18" s="5">
        <v>218.00700000000001</v>
      </c>
      <c r="C18" s="5">
        <v>457.56299999999999</v>
      </c>
      <c r="D18" s="5">
        <v>124.71</v>
      </c>
      <c r="E18" s="5">
        <v>80.5</v>
      </c>
      <c r="F18" s="5">
        <v>12.906000000000001</v>
      </c>
      <c r="G18" s="5">
        <v>2</v>
      </c>
      <c r="H18" s="5">
        <v>515.03</v>
      </c>
      <c r="I18" s="5">
        <v>3538.3</v>
      </c>
      <c r="J18" s="51">
        <f t="shared" si="0"/>
        <v>870.65300000000002</v>
      </c>
      <c r="K18" s="51">
        <f t="shared" si="1"/>
        <v>4078.3630000000003</v>
      </c>
    </row>
    <row r="19" spans="1:11" ht="16.5" customHeight="1" x14ac:dyDescent="0.25">
      <c r="A19" s="16" t="s">
        <v>26</v>
      </c>
      <c r="B19" s="5">
        <v>96.69</v>
      </c>
      <c r="C19" s="5">
        <v>125.93</v>
      </c>
      <c r="D19" s="5">
        <v>84.53</v>
      </c>
      <c r="E19" s="5">
        <v>80</v>
      </c>
      <c r="F19" s="5">
        <v>14.65</v>
      </c>
      <c r="G19" s="5">
        <v>6</v>
      </c>
      <c r="H19" s="5">
        <v>649.84699999999998</v>
      </c>
      <c r="I19" s="5">
        <v>3370</v>
      </c>
      <c r="J19" s="51">
        <f t="shared" si="0"/>
        <v>845.71699999999998</v>
      </c>
      <c r="K19" s="51">
        <f t="shared" si="1"/>
        <v>3581.93</v>
      </c>
    </row>
    <row r="20" spans="1:11" ht="16.5" customHeight="1" x14ac:dyDescent="0.25">
      <c r="A20" s="16" t="s">
        <v>55</v>
      </c>
      <c r="B20" s="5"/>
      <c r="C20" s="5"/>
      <c r="D20" s="5"/>
      <c r="E20" s="5"/>
      <c r="F20" s="5"/>
      <c r="G20" s="5"/>
      <c r="H20" s="5">
        <v>2.57</v>
      </c>
      <c r="I20" s="5">
        <v>48.8</v>
      </c>
      <c r="J20" s="51">
        <f t="shared" si="0"/>
        <v>2.57</v>
      </c>
      <c r="K20" s="51">
        <f t="shared" si="1"/>
        <v>48.8</v>
      </c>
    </row>
    <row r="21" spans="1:11" ht="16.5" customHeight="1" x14ac:dyDescent="0.25">
      <c r="A21" s="16" t="s">
        <v>27</v>
      </c>
      <c r="B21" s="5"/>
      <c r="C21" s="5"/>
      <c r="D21" s="5"/>
      <c r="E21" s="5"/>
      <c r="F21" s="5"/>
      <c r="G21" s="5"/>
      <c r="H21" s="5"/>
      <c r="I21" s="5"/>
      <c r="J21" s="51"/>
      <c r="K21" s="51"/>
    </row>
    <row r="22" spans="1:11" ht="16.5" customHeight="1" x14ac:dyDescent="0.25">
      <c r="A22" s="16" t="s">
        <v>28</v>
      </c>
      <c r="B22" s="5">
        <v>2.2000000000000002</v>
      </c>
      <c r="C22" s="5">
        <v>3.58</v>
      </c>
      <c r="D22" s="5">
        <v>186.2</v>
      </c>
      <c r="E22" s="5">
        <v>235</v>
      </c>
      <c r="F22" s="5"/>
      <c r="G22" s="5"/>
      <c r="H22" s="5">
        <v>28.1</v>
      </c>
      <c r="I22" s="5">
        <v>129</v>
      </c>
      <c r="J22" s="51">
        <f t="shared" si="0"/>
        <v>216.49999999999997</v>
      </c>
      <c r="K22" s="51">
        <f t="shared" si="1"/>
        <v>367.58000000000004</v>
      </c>
    </row>
    <row r="23" spans="1:11" ht="16.5" customHeight="1" x14ac:dyDescent="0.25">
      <c r="A23" s="63" t="s">
        <v>29</v>
      </c>
      <c r="B23" s="5"/>
      <c r="C23" s="5"/>
      <c r="D23" s="5">
        <v>0.9</v>
      </c>
      <c r="E23" s="5">
        <v>0.15</v>
      </c>
      <c r="F23" s="5"/>
      <c r="G23" s="5"/>
      <c r="H23" s="52"/>
      <c r="I23" s="5"/>
      <c r="J23" s="51">
        <f t="shared" si="0"/>
        <v>0.9</v>
      </c>
      <c r="K23" s="51">
        <f t="shared" si="1"/>
        <v>0.15</v>
      </c>
    </row>
    <row r="24" spans="1:11" ht="16.5" customHeight="1" x14ac:dyDescent="0.25">
      <c r="A24" s="16" t="s">
        <v>30</v>
      </c>
      <c r="B24" s="5">
        <v>17.11</v>
      </c>
      <c r="C24" s="5">
        <v>24.68</v>
      </c>
      <c r="D24" s="5">
        <v>8.5</v>
      </c>
      <c r="E24" s="5">
        <v>4.5</v>
      </c>
      <c r="F24" s="5"/>
      <c r="G24" s="5"/>
      <c r="H24" s="5"/>
      <c r="I24" s="5"/>
      <c r="J24" s="51">
        <f t="shared" si="0"/>
        <v>25.61</v>
      </c>
      <c r="K24" s="51">
        <f t="shared" si="1"/>
        <v>29.18</v>
      </c>
    </row>
    <row r="25" spans="1:11" ht="16.5" customHeight="1" x14ac:dyDescent="0.25">
      <c r="A25" s="16" t="s">
        <v>31</v>
      </c>
      <c r="B25" s="5">
        <v>10.74</v>
      </c>
      <c r="C25" s="5">
        <v>7.27</v>
      </c>
      <c r="D25" s="5">
        <v>2E-3</v>
      </c>
      <c r="E25" s="5">
        <v>2E-3</v>
      </c>
      <c r="F25" s="5"/>
      <c r="G25" s="5"/>
      <c r="H25" s="5">
        <v>0.04</v>
      </c>
      <c r="I25" s="5">
        <v>0.11</v>
      </c>
      <c r="J25" s="51">
        <f t="shared" si="0"/>
        <v>10.782</v>
      </c>
      <c r="K25" s="51">
        <f t="shared" si="1"/>
        <v>7.3819999999999997</v>
      </c>
    </row>
    <row r="26" spans="1:11" ht="16.5" customHeight="1" x14ac:dyDescent="0.25">
      <c r="A26" s="18" t="s">
        <v>32</v>
      </c>
      <c r="B26" s="5">
        <v>0.22</v>
      </c>
      <c r="C26" s="5">
        <v>0.12</v>
      </c>
      <c r="D26" s="5">
        <v>0.5</v>
      </c>
      <c r="E26" s="5">
        <v>0.2</v>
      </c>
      <c r="F26" s="5"/>
      <c r="G26" s="5"/>
      <c r="H26" s="5">
        <v>1.45</v>
      </c>
      <c r="I26" s="5">
        <v>11.23</v>
      </c>
      <c r="J26" s="51">
        <f t="shared" si="0"/>
        <v>2.17</v>
      </c>
      <c r="K26" s="51">
        <f t="shared" si="1"/>
        <v>11.55</v>
      </c>
    </row>
    <row r="27" spans="1:11" ht="16.5" customHeight="1" x14ac:dyDescent="0.25">
      <c r="A27" s="16" t="s">
        <v>175</v>
      </c>
      <c r="B27" s="5"/>
      <c r="C27" s="5"/>
      <c r="D27" s="5">
        <v>180.41</v>
      </c>
      <c r="E27" s="5">
        <v>85.5</v>
      </c>
      <c r="F27" s="5"/>
      <c r="G27" s="5"/>
      <c r="H27" s="5">
        <v>50.68</v>
      </c>
      <c r="I27" s="5">
        <v>223.6</v>
      </c>
      <c r="J27" s="51">
        <f t="shared" si="0"/>
        <v>231.09</v>
      </c>
      <c r="K27" s="51">
        <f t="shared" si="1"/>
        <v>309.10000000000002</v>
      </c>
    </row>
    <row r="28" spans="1:11" ht="16.5" customHeight="1" x14ac:dyDescent="0.25">
      <c r="A28" s="18" t="s">
        <v>165</v>
      </c>
      <c r="B28" s="5">
        <v>0.06</v>
      </c>
      <c r="C28" s="5">
        <v>0.08</v>
      </c>
      <c r="D28" s="5">
        <v>5</v>
      </c>
      <c r="E28" s="5">
        <v>3</v>
      </c>
      <c r="F28" s="5"/>
      <c r="G28" s="5"/>
      <c r="H28" s="5">
        <v>1.879</v>
      </c>
      <c r="I28" s="5">
        <v>15.069000000000001</v>
      </c>
      <c r="J28" s="51">
        <f t="shared" si="0"/>
        <v>6.9390000000000001</v>
      </c>
      <c r="K28" s="51">
        <f t="shared" si="1"/>
        <v>18.149000000000001</v>
      </c>
    </row>
    <row r="29" spans="1:11" ht="16.5" customHeight="1" x14ac:dyDescent="0.25">
      <c r="A29" s="16" t="s">
        <v>33</v>
      </c>
      <c r="B29" s="5"/>
      <c r="C29" s="5"/>
      <c r="D29" s="5"/>
      <c r="E29" s="5"/>
      <c r="F29" s="5"/>
      <c r="G29" s="5"/>
      <c r="H29" s="5"/>
      <c r="I29" s="5"/>
      <c r="J29" s="51"/>
      <c r="K29" s="51"/>
    </row>
    <row r="30" spans="1:11" ht="16.5" customHeight="1" x14ac:dyDescent="0.25">
      <c r="A30" s="16" t="s">
        <v>34</v>
      </c>
      <c r="B30" s="5"/>
      <c r="C30" s="5"/>
      <c r="D30" s="5"/>
      <c r="E30" s="5"/>
      <c r="F30" s="5"/>
      <c r="G30" s="5"/>
      <c r="H30" s="5"/>
      <c r="I30" s="5"/>
      <c r="J30" s="51"/>
      <c r="K30" s="51"/>
    </row>
    <row r="31" spans="1:11" ht="16.5" customHeight="1" x14ac:dyDescent="0.25">
      <c r="A31" s="16" t="s">
        <v>35</v>
      </c>
      <c r="B31" s="5"/>
      <c r="C31" s="5"/>
      <c r="D31" s="5"/>
      <c r="E31" s="5"/>
      <c r="F31" s="5"/>
      <c r="G31" s="5"/>
      <c r="H31" s="5"/>
      <c r="I31" s="5"/>
      <c r="J31" s="51"/>
      <c r="K31" s="51"/>
    </row>
    <row r="32" spans="1:11" ht="16.5" customHeight="1" x14ac:dyDescent="0.25">
      <c r="A32" s="16" t="s">
        <v>36</v>
      </c>
      <c r="B32" s="5">
        <v>6.06</v>
      </c>
      <c r="C32" s="5">
        <v>13.2</v>
      </c>
      <c r="D32" s="5">
        <v>140.41999999999999</v>
      </c>
      <c r="E32" s="5">
        <v>67</v>
      </c>
      <c r="F32" s="52">
        <v>26.959</v>
      </c>
      <c r="G32" s="52">
        <v>1.75</v>
      </c>
      <c r="H32" s="5">
        <v>465.108</v>
      </c>
      <c r="I32" s="5">
        <v>4760.8100000000004</v>
      </c>
      <c r="J32" s="51">
        <f t="shared" si="0"/>
        <v>638.54700000000003</v>
      </c>
      <c r="K32" s="51">
        <f t="shared" si="1"/>
        <v>4842.76</v>
      </c>
    </row>
    <row r="33" spans="1:11" ht="16.5" customHeight="1" x14ac:dyDescent="0.25">
      <c r="A33" s="21" t="s">
        <v>218</v>
      </c>
      <c r="B33" s="5"/>
      <c r="C33" s="5"/>
      <c r="D33" s="5"/>
      <c r="E33" s="5"/>
      <c r="F33" s="52"/>
      <c r="G33" s="52"/>
      <c r="H33" s="5">
        <v>1.6859999999999999</v>
      </c>
      <c r="I33" s="5">
        <v>17.440000000000001</v>
      </c>
      <c r="J33" s="51">
        <f t="shared" si="0"/>
        <v>1.6859999999999999</v>
      </c>
      <c r="K33" s="51">
        <f t="shared" si="1"/>
        <v>17.440000000000001</v>
      </c>
    </row>
    <row r="34" spans="1:11" ht="16.5" customHeight="1" x14ac:dyDescent="0.25">
      <c r="A34" s="16" t="s">
        <v>37</v>
      </c>
      <c r="B34" s="5">
        <v>4.7</v>
      </c>
      <c r="C34" s="5">
        <v>9.92</v>
      </c>
      <c r="D34" s="5">
        <v>4.25</v>
      </c>
      <c r="E34" s="5">
        <v>2.5</v>
      </c>
      <c r="F34" s="5"/>
      <c r="G34" s="5"/>
      <c r="H34" s="5">
        <v>6.9320000000000004</v>
      </c>
      <c r="I34" s="5">
        <v>19.547999999999998</v>
      </c>
      <c r="J34" s="51">
        <f t="shared" si="0"/>
        <v>15.882</v>
      </c>
      <c r="K34" s="51">
        <f t="shared" si="1"/>
        <v>31.967999999999996</v>
      </c>
    </row>
    <row r="35" spans="1:11" ht="16.5" customHeight="1" x14ac:dyDescent="0.25">
      <c r="A35" s="16" t="s">
        <v>38</v>
      </c>
      <c r="B35" s="5"/>
      <c r="C35" s="5"/>
      <c r="D35" s="5"/>
      <c r="E35" s="5"/>
      <c r="F35" s="5"/>
      <c r="G35" s="5"/>
      <c r="H35" s="5"/>
      <c r="I35" s="5"/>
      <c r="J35" s="51"/>
      <c r="K35" s="51"/>
    </row>
    <row r="36" spans="1:11" ht="16.5" customHeight="1" x14ac:dyDescent="0.25">
      <c r="A36" s="16" t="s">
        <v>88</v>
      </c>
      <c r="B36" s="5"/>
      <c r="C36" s="5"/>
      <c r="D36" s="5"/>
      <c r="E36" s="5"/>
      <c r="F36" s="5"/>
      <c r="G36" s="5"/>
      <c r="H36" s="5"/>
      <c r="I36" s="5"/>
      <c r="J36" s="51"/>
      <c r="K36" s="51"/>
    </row>
    <row r="37" spans="1:11" ht="16.5" customHeight="1" x14ac:dyDescent="0.25">
      <c r="A37" s="16" t="s">
        <v>39</v>
      </c>
      <c r="B37" s="5">
        <v>11.39</v>
      </c>
      <c r="C37" s="5">
        <v>21.16</v>
      </c>
      <c r="D37" s="5">
        <v>11.36</v>
      </c>
      <c r="E37" s="5">
        <v>13</v>
      </c>
      <c r="F37" s="5"/>
      <c r="G37" s="5">
        <v>0</v>
      </c>
      <c r="H37" s="5">
        <v>29.41</v>
      </c>
      <c r="I37" s="5">
        <v>256.18</v>
      </c>
      <c r="J37" s="51">
        <f t="shared" si="0"/>
        <v>52.16</v>
      </c>
      <c r="K37" s="51">
        <f t="shared" si="1"/>
        <v>290.34000000000003</v>
      </c>
    </row>
    <row r="38" spans="1:11" ht="16.5" customHeight="1" x14ac:dyDescent="0.25">
      <c r="A38" s="16" t="s">
        <v>9</v>
      </c>
      <c r="B38" s="53">
        <f>SUM(B3:B37)</f>
        <v>450.20700000000005</v>
      </c>
      <c r="C38" s="53">
        <f t="shared" ref="C38:K38" si="2">SUM(C3:C37)</f>
        <v>746.66300000000001</v>
      </c>
      <c r="D38" s="53">
        <f t="shared" si="2"/>
        <v>1029.5369999999998</v>
      </c>
      <c r="E38" s="53">
        <f t="shared" si="2"/>
        <v>744.94399999999996</v>
      </c>
      <c r="F38" s="53">
        <f t="shared" si="2"/>
        <v>78</v>
      </c>
      <c r="G38" s="53">
        <f t="shared" si="2"/>
        <v>16.05</v>
      </c>
      <c r="H38" s="53">
        <f t="shared" si="2"/>
        <v>1975.7929999999997</v>
      </c>
      <c r="I38" s="53">
        <f t="shared" si="2"/>
        <v>14067.169000000002</v>
      </c>
      <c r="J38" s="53">
        <f t="shared" si="2"/>
        <v>3533.5370000000007</v>
      </c>
      <c r="K38" s="53">
        <f t="shared" si="2"/>
        <v>15574.825999999999</v>
      </c>
    </row>
    <row r="39" spans="1:11" ht="16.5" customHeight="1" x14ac:dyDescent="0.25">
      <c r="A39" s="83" t="s">
        <v>267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11" ht="16.5" customHeight="1" x14ac:dyDescent="0.25">
      <c r="A40" s="83" t="s">
        <v>192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1" ht="17.25" customHeight="1" x14ac:dyDescent="0.25">
      <c r="A41" s="84" t="s">
        <v>178</v>
      </c>
      <c r="B41" s="83"/>
      <c r="C41" s="83"/>
      <c r="D41" s="83"/>
      <c r="E41" s="83"/>
      <c r="F41" s="83"/>
      <c r="G41" s="83"/>
      <c r="H41" s="83"/>
      <c r="I41" s="83"/>
    </row>
    <row r="42" spans="1:11" ht="17.25" customHeight="1" x14ac:dyDescent="0.25">
      <c r="A42" s="172" t="s">
        <v>180</v>
      </c>
      <c r="B42" s="172"/>
      <c r="C42" s="172"/>
      <c r="D42" s="172"/>
      <c r="E42" s="172"/>
      <c r="F42" s="85"/>
      <c r="G42" s="85"/>
      <c r="H42" s="85"/>
      <c r="I42" s="85">
        <f>I38/H38</f>
        <v>7.1197584969680552</v>
      </c>
    </row>
    <row r="43" spans="1:11" ht="17.25" customHeight="1" x14ac:dyDescent="0.25">
      <c r="A43" s="86" t="s">
        <v>182</v>
      </c>
      <c r="B43" s="86"/>
      <c r="C43" s="86"/>
      <c r="D43" s="86"/>
      <c r="E43" s="86"/>
      <c r="F43" s="86"/>
      <c r="G43" s="86"/>
      <c r="H43" s="86"/>
      <c r="I43" s="86"/>
    </row>
    <row r="44" spans="1:11" ht="17.25" customHeight="1" x14ac:dyDescent="0.25">
      <c r="A44" s="85" t="s">
        <v>181</v>
      </c>
      <c r="B44" s="85"/>
      <c r="C44" s="85"/>
      <c r="D44" s="85"/>
      <c r="E44" s="86"/>
      <c r="F44" s="86"/>
      <c r="G44" s="86"/>
      <c r="H44" s="86"/>
      <c r="I44" s="86"/>
    </row>
    <row r="45" spans="1:11" ht="17.25" customHeight="1" x14ac:dyDescent="0.25">
      <c r="A45" s="85" t="s">
        <v>179</v>
      </c>
      <c r="B45" s="85"/>
      <c r="C45" s="85"/>
      <c r="D45" s="85"/>
      <c r="E45" s="86"/>
      <c r="F45" s="86"/>
      <c r="G45" s="86"/>
      <c r="H45" s="86"/>
      <c r="I45" s="86"/>
    </row>
    <row r="46" spans="1:11" ht="17.2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</row>
    <row r="47" spans="1:11" ht="17.2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</row>
    <row r="48" spans="1:11" ht="17.25" customHeight="1" x14ac:dyDescent="0.25">
      <c r="A48" s="85"/>
      <c r="B48" s="85"/>
      <c r="C48" s="85"/>
      <c r="D48" s="85"/>
      <c r="E48" s="85"/>
      <c r="F48" s="85"/>
      <c r="G48" s="85"/>
      <c r="H48" s="85"/>
      <c r="I48" s="85"/>
    </row>
    <row r="49" spans="1:9" ht="17.25" customHeight="1" x14ac:dyDescent="0.25">
      <c r="A49" s="85"/>
      <c r="B49" s="85"/>
      <c r="C49" s="85"/>
      <c r="D49" s="85"/>
      <c r="E49" s="85"/>
      <c r="F49" s="85"/>
      <c r="G49" s="85"/>
      <c r="H49" s="85"/>
      <c r="I49" s="85"/>
    </row>
    <row r="50" spans="1:9" ht="17.25" customHeight="1" x14ac:dyDescent="0.25">
      <c r="A50" s="87"/>
      <c r="B50" s="87"/>
      <c r="C50" s="87"/>
      <c r="D50" s="87"/>
      <c r="E50" s="87"/>
      <c r="F50" s="87"/>
      <c r="G50" s="87"/>
      <c r="H50" s="87"/>
      <c r="I50" s="87"/>
    </row>
  </sheetData>
  <mergeCells count="6">
    <mergeCell ref="A42:E42"/>
    <mergeCell ref="J1:K1"/>
    <mergeCell ref="B1:C1"/>
    <mergeCell ref="D1:E1"/>
    <mergeCell ref="F1:G1"/>
    <mergeCell ref="H1:I1"/>
  </mergeCells>
  <phoneticPr fontId="20" type="noConversion"/>
  <printOptions horizontalCentered="1" verticalCentered="1"/>
  <pageMargins left="0.46" right="0.17" top="1.19" bottom="0.22" header="0.87" footer="0.16"/>
  <pageSetup scale="70" orientation="landscape" r:id="rId1"/>
  <headerFooter alignWithMargins="0">
    <oddHeader>&amp;C&amp;"Arial,Bold"&amp;14Area and Production of Plantation Crops 2014-15 (Final)&amp;R&amp;"-,Bold"&amp;11Area in '000 Ha
Production in '000 MT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pane xSplit="1" ySplit="2" topLeftCell="W21" activePane="bottomRight" state="frozen"/>
      <selection pane="topRight" activeCell="B1" sqref="B1"/>
      <selection pane="bottomLeft" activeCell="A3" sqref="A3"/>
      <selection pane="bottomRight" activeCell="A35" sqref="A35:A36"/>
    </sheetView>
  </sheetViews>
  <sheetFormatPr defaultRowHeight="15.75" x14ac:dyDescent="0.25"/>
  <cols>
    <col min="1" max="1" width="22.85546875" style="23" customWidth="1"/>
    <col min="2" max="37" width="10.42578125" style="23" customWidth="1"/>
    <col min="38" max="16384" width="9.140625" style="23"/>
  </cols>
  <sheetData>
    <row r="1" spans="1:37" ht="19.5" customHeight="1" x14ac:dyDescent="0.25">
      <c r="A1" s="61" t="s">
        <v>188</v>
      </c>
      <c r="B1" s="176" t="s">
        <v>124</v>
      </c>
      <c r="C1" s="176"/>
      <c r="D1" s="176" t="s">
        <v>125</v>
      </c>
      <c r="E1" s="176"/>
      <c r="F1" s="176" t="s">
        <v>169</v>
      </c>
      <c r="G1" s="176"/>
      <c r="H1" s="176" t="s">
        <v>126</v>
      </c>
      <c r="I1" s="176"/>
      <c r="J1" s="176" t="s">
        <v>127</v>
      </c>
      <c r="K1" s="176"/>
      <c r="L1" s="174" t="s">
        <v>128</v>
      </c>
      <c r="M1" s="174"/>
      <c r="N1" s="174" t="s">
        <v>129</v>
      </c>
      <c r="O1" s="174"/>
      <c r="P1" s="174" t="s">
        <v>130</v>
      </c>
      <c r="Q1" s="174"/>
      <c r="R1" s="174" t="s">
        <v>131</v>
      </c>
      <c r="S1" s="174"/>
      <c r="T1" s="174" t="s">
        <v>198</v>
      </c>
      <c r="U1" s="174"/>
      <c r="V1" s="174" t="s">
        <v>132</v>
      </c>
      <c r="W1" s="174"/>
      <c r="X1" s="174" t="s">
        <v>170</v>
      </c>
      <c r="Y1" s="174"/>
      <c r="Z1" s="175" t="s">
        <v>171</v>
      </c>
      <c r="AA1" s="175"/>
      <c r="AB1" s="174" t="s">
        <v>133</v>
      </c>
      <c r="AC1" s="174"/>
      <c r="AD1" s="174" t="s">
        <v>134</v>
      </c>
      <c r="AE1" s="174"/>
      <c r="AF1" s="174" t="s">
        <v>135</v>
      </c>
      <c r="AG1" s="174"/>
      <c r="AH1" s="174" t="s">
        <v>172</v>
      </c>
      <c r="AI1" s="174"/>
      <c r="AJ1" s="174" t="s">
        <v>52</v>
      </c>
      <c r="AK1" s="174"/>
    </row>
    <row r="2" spans="1:37" ht="17.25" customHeight="1" x14ac:dyDescent="0.25">
      <c r="A2" s="2"/>
      <c r="B2" s="88" t="s">
        <v>47</v>
      </c>
      <c r="C2" s="88" t="s">
        <v>10</v>
      </c>
      <c r="D2" s="88" t="s">
        <v>47</v>
      </c>
      <c r="E2" s="88" t="s">
        <v>10</v>
      </c>
      <c r="F2" s="88" t="s">
        <v>47</v>
      </c>
      <c r="G2" s="88" t="s">
        <v>10</v>
      </c>
      <c r="H2" s="88" t="s">
        <v>47</v>
      </c>
      <c r="I2" s="88" t="s">
        <v>10</v>
      </c>
      <c r="J2" s="88" t="s">
        <v>47</v>
      </c>
      <c r="K2" s="88" t="s">
        <v>10</v>
      </c>
      <c r="L2" s="88" t="s">
        <v>47</v>
      </c>
      <c r="M2" s="88" t="s">
        <v>10</v>
      </c>
      <c r="N2" s="88" t="s">
        <v>47</v>
      </c>
      <c r="O2" s="88" t="s">
        <v>10</v>
      </c>
      <c r="P2" s="88" t="s">
        <v>47</v>
      </c>
      <c r="Q2" s="88" t="s">
        <v>10</v>
      </c>
      <c r="R2" s="88" t="s">
        <v>47</v>
      </c>
      <c r="S2" s="88" t="s">
        <v>10</v>
      </c>
      <c r="T2" s="88" t="s">
        <v>47</v>
      </c>
      <c r="U2" s="88" t="s">
        <v>10</v>
      </c>
      <c r="V2" s="88" t="s">
        <v>47</v>
      </c>
      <c r="W2" s="88" t="s">
        <v>10</v>
      </c>
      <c r="X2" s="88" t="s">
        <v>47</v>
      </c>
      <c r="Y2" s="88" t="s">
        <v>10</v>
      </c>
      <c r="Z2" s="88" t="s">
        <v>47</v>
      </c>
      <c r="AA2" s="88" t="s">
        <v>10</v>
      </c>
      <c r="AB2" s="88" t="s">
        <v>47</v>
      </c>
      <c r="AC2" s="88" t="s">
        <v>10</v>
      </c>
      <c r="AD2" s="88" t="s">
        <v>47</v>
      </c>
      <c r="AE2" s="88" t="s">
        <v>10</v>
      </c>
      <c r="AF2" s="88" t="s">
        <v>47</v>
      </c>
      <c r="AG2" s="88" t="s">
        <v>10</v>
      </c>
      <c r="AH2" s="88" t="s">
        <v>47</v>
      </c>
      <c r="AI2" s="88" t="s">
        <v>10</v>
      </c>
      <c r="AJ2" s="88" t="s">
        <v>47</v>
      </c>
      <c r="AK2" s="88" t="s">
        <v>10</v>
      </c>
    </row>
    <row r="3" spans="1:37" ht="20.25" customHeight="1" x14ac:dyDescent="0.25">
      <c r="A3" s="3" t="s">
        <v>11</v>
      </c>
      <c r="B3" s="7">
        <v>0.6</v>
      </c>
      <c r="C3" s="7">
        <v>0.13</v>
      </c>
      <c r="D3" s="7">
        <v>0.215</v>
      </c>
      <c r="E3" s="7">
        <v>1.91</v>
      </c>
      <c r="F3" s="7">
        <v>0.4</v>
      </c>
      <c r="G3" s="7">
        <v>0.61</v>
      </c>
      <c r="H3" s="7">
        <v>0.08</v>
      </c>
      <c r="I3" s="7">
        <v>0.47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>
        <v>0.15</v>
      </c>
      <c r="AA3" s="7">
        <v>0.04</v>
      </c>
      <c r="AB3" s="7">
        <v>7.0000000000000007E-2</v>
      </c>
      <c r="AC3" s="7">
        <v>0.05</v>
      </c>
      <c r="AD3" s="7">
        <v>0.16</v>
      </c>
      <c r="AE3" s="7">
        <v>0.01</v>
      </c>
      <c r="AF3" s="7"/>
      <c r="AG3" s="7"/>
      <c r="AH3" s="7"/>
      <c r="AI3" s="7"/>
      <c r="AJ3" s="89">
        <f>B3+D3+F3+H3+J3+L3+N3+P3+R3+T3+V3+X3+Z3+AB3+AD3+AF3+AH3</f>
        <v>1.6749999999999998</v>
      </c>
      <c r="AK3" s="89">
        <f>C3+E3+G3+I3+K3+M3+O3+Q3+S3+U3+W3+Y3+AA3+AC3+AE3+AG3+AI3</f>
        <v>3.2199999999999998</v>
      </c>
    </row>
    <row r="4" spans="1:37" ht="20.25" customHeight="1" x14ac:dyDescent="0.25">
      <c r="A4" s="3" t="s">
        <v>12</v>
      </c>
      <c r="B4" s="7"/>
      <c r="C4" s="7"/>
      <c r="D4" s="7">
        <v>0.42699999999999999</v>
      </c>
      <c r="E4" s="7">
        <v>1.22</v>
      </c>
      <c r="F4" s="7">
        <v>134.96</v>
      </c>
      <c r="G4" s="7">
        <v>739.62</v>
      </c>
      <c r="H4" s="23">
        <v>16.53</v>
      </c>
      <c r="I4" s="23">
        <v>143.22999999999999</v>
      </c>
      <c r="J4" s="7"/>
      <c r="K4" s="7"/>
      <c r="L4" s="7"/>
      <c r="M4" s="7"/>
      <c r="N4" s="7">
        <v>40.18</v>
      </c>
      <c r="O4" s="7">
        <v>20.78</v>
      </c>
      <c r="P4" s="7"/>
      <c r="Q4" s="7"/>
      <c r="R4" s="7"/>
      <c r="S4" s="7"/>
      <c r="T4" s="7"/>
      <c r="U4" s="7"/>
      <c r="V4" s="7">
        <v>3.98</v>
      </c>
      <c r="W4" s="7">
        <v>1.7</v>
      </c>
      <c r="X4" s="7"/>
      <c r="Y4" s="7"/>
      <c r="Z4" s="7"/>
      <c r="AA4" s="7"/>
      <c r="AB4" s="7"/>
      <c r="AC4" s="7"/>
      <c r="AD4" s="7"/>
      <c r="AE4" s="7"/>
      <c r="AF4" s="7">
        <v>4.58</v>
      </c>
      <c r="AG4" s="7">
        <v>11.45</v>
      </c>
      <c r="AH4" s="7">
        <v>0.01</v>
      </c>
      <c r="AI4" s="7">
        <v>0.01</v>
      </c>
      <c r="AJ4" s="89">
        <f t="shared" ref="AJ4:AJ33" si="0">B4+D4+F4+H4+J4+L4+N4+P4+R4+T4+V4+X4+Z4+AB4+AD4+AF4+AH4</f>
        <v>200.667</v>
      </c>
      <c r="AK4" s="89">
        <f t="shared" ref="AK4:AK33" si="1">C4+E4+G4+I4+K4+M4+O4+Q4+S4+U4+W4+Y4+AA4+AC4+AE4+AG4+AI4</f>
        <v>918.0100000000001</v>
      </c>
    </row>
    <row r="5" spans="1:37" ht="20.25" customHeight="1" x14ac:dyDescent="0.25">
      <c r="A5" s="26" t="s">
        <v>13</v>
      </c>
      <c r="B5" s="7"/>
      <c r="C5" s="7"/>
      <c r="D5" s="7">
        <v>7</v>
      </c>
      <c r="E5" s="7">
        <v>57</v>
      </c>
      <c r="F5" s="7">
        <v>2.5</v>
      </c>
      <c r="G5" s="7">
        <v>4.4000000000000004</v>
      </c>
      <c r="H5" s="7">
        <v>0.64</v>
      </c>
      <c r="I5" s="7">
        <v>2.86</v>
      </c>
      <c r="J5" s="7">
        <v>0.03</v>
      </c>
      <c r="K5" s="7">
        <v>0.01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9">
        <f t="shared" si="0"/>
        <v>10.17</v>
      </c>
      <c r="AK5" s="89">
        <f t="shared" si="1"/>
        <v>64.27000000000001</v>
      </c>
    </row>
    <row r="6" spans="1:37" ht="20.25" customHeight="1" x14ac:dyDescent="0.25">
      <c r="A6" s="3" t="s">
        <v>14</v>
      </c>
      <c r="B6" s="7">
        <v>3.79</v>
      </c>
      <c r="C6" s="7">
        <v>2.23</v>
      </c>
      <c r="D6" s="7">
        <v>18.196999999999999</v>
      </c>
      <c r="E6" s="7">
        <v>159.94999999999999</v>
      </c>
      <c r="F6" s="7">
        <v>21.01</v>
      </c>
      <c r="G6" s="7">
        <v>18.38</v>
      </c>
      <c r="H6" s="7">
        <v>16.57</v>
      </c>
      <c r="I6" s="7">
        <v>16.34</v>
      </c>
      <c r="J6" s="7">
        <v>10.18</v>
      </c>
      <c r="K6" s="7">
        <v>70.17</v>
      </c>
      <c r="L6" s="7"/>
      <c r="M6" s="7"/>
      <c r="N6" s="7">
        <v>28.85</v>
      </c>
      <c r="O6" s="7">
        <v>53.96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9">
        <f t="shared" si="0"/>
        <v>98.597000000000008</v>
      </c>
      <c r="AK6" s="89">
        <f t="shared" si="1"/>
        <v>321.02999999999997</v>
      </c>
    </row>
    <row r="7" spans="1:37" ht="20.25" customHeight="1" x14ac:dyDescent="0.25">
      <c r="A7" s="3" t="s">
        <v>15</v>
      </c>
      <c r="B7" s="7"/>
      <c r="C7" s="7"/>
      <c r="D7" s="7">
        <v>0.56000000000000005</v>
      </c>
      <c r="E7" s="7">
        <v>0.84</v>
      </c>
      <c r="F7" s="7">
        <v>2.9</v>
      </c>
      <c r="G7" s="7">
        <v>3</v>
      </c>
      <c r="H7" s="7">
        <v>3</v>
      </c>
      <c r="I7" s="7">
        <v>3</v>
      </c>
      <c r="J7" s="7">
        <v>4.25</v>
      </c>
      <c r="K7" s="7">
        <v>4</v>
      </c>
      <c r="L7" s="7"/>
      <c r="M7" s="7"/>
      <c r="N7" s="7">
        <v>2.2999999999999998</v>
      </c>
      <c r="O7" s="7">
        <v>1.7</v>
      </c>
      <c r="P7" s="7"/>
      <c r="Q7" s="7"/>
      <c r="R7" s="7"/>
      <c r="S7" s="7"/>
      <c r="T7" s="7"/>
      <c r="U7" s="7"/>
      <c r="V7" s="7"/>
      <c r="W7" s="7"/>
      <c r="X7" s="7"/>
      <c r="Y7" s="7"/>
      <c r="AA7" s="7"/>
      <c r="AB7" s="7"/>
      <c r="AC7" s="7"/>
      <c r="AD7" s="7"/>
      <c r="AE7" s="7"/>
      <c r="AF7" s="7"/>
      <c r="AG7" s="7"/>
      <c r="AH7" s="7"/>
      <c r="AI7" s="7"/>
      <c r="AJ7" s="89">
        <f t="shared" si="0"/>
        <v>13.010000000000002</v>
      </c>
      <c r="AK7" s="89">
        <f t="shared" si="1"/>
        <v>12.54</v>
      </c>
    </row>
    <row r="8" spans="1:37" ht="20.25" customHeight="1" x14ac:dyDescent="0.25">
      <c r="A8" s="3" t="s">
        <v>54</v>
      </c>
      <c r="B8" s="7"/>
      <c r="C8" s="7"/>
      <c r="D8" s="7">
        <v>1.7390000000000001</v>
      </c>
      <c r="E8" s="7">
        <v>2.14</v>
      </c>
      <c r="F8" s="7">
        <v>4.92</v>
      </c>
      <c r="G8" s="7">
        <v>4.4000000000000004</v>
      </c>
      <c r="H8" s="7">
        <v>1.1000000000000001</v>
      </c>
      <c r="I8" s="7">
        <v>0.96</v>
      </c>
      <c r="J8" s="7">
        <v>1.28</v>
      </c>
      <c r="K8" s="7">
        <v>3.4</v>
      </c>
      <c r="L8" s="7"/>
      <c r="M8" s="7"/>
      <c r="N8" s="7">
        <v>2.65</v>
      </c>
      <c r="O8" s="7">
        <v>0.75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9">
        <f t="shared" si="0"/>
        <v>11.689</v>
      </c>
      <c r="AK8" s="89">
        <f t="shared" si="1"/>
        <v>11.65</v>
      </c>
    </row>
    <row r="9" spans="1:37" ht="20.25" customHeight="1" x14ac:dyDescent="0.25">
      <c r="A9" s="3" t="s">
        <v>19</v>
      </c>
      <c r="B9" s="7">
        <v>0.76</v>
      </c>
      <c r="C9" s="7">
        <v>0.24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>
        <v>0.18</v>
      </c>
      <c r="AC9" s="7">
        <v>0.01</v>
      </c>
      <c r="AD9" s="7"/>
      <c r="AE9" s="7"/>
      <c r="AF9" s="7"/>
      <c r="AG9" s="7"/>
      <c r="AH9" s="7"/>
      <c r="AI9" s="7"/>
      <c r="AJ9" s="89">
        <f t="shared" si="0"/>
        <v>0.94</v>
      </c>
      <c r="AK9" s="89">
        <f t="shared" si="1"/>
        <v>0.25</v>
      </c>
    </row>
    <row r="10" spans="1:37" ht="20.25" customHeight="1" x14ac:dyDescent="0.25">
      <c r="A10" s="3" t="s">
        <v>20</v>
      </c>
      <c r="B10" s="7"/>
      <c r="C10" s="7"/>
      <c r="D10" s="7">
        <v>5.8680000000000003</v>
      </c>
      <c r="E10" s="7">
        <v>118.23</v>
      </c>
      <c r="F10" s="7">
        <v>19.05</v>
      </c>
      <c r="G10" s="7">
        <v>33.299999999999997</v>
      </c>
      <c r="H10" s="7">
        <v>3.15</v>
      </c>
      <c r="I10" s="7">
        <v>52.06</v>
      </c>
      <c r="J10" s="7">
        <v>40.6</v>
      </c>
      <c r="K10" s="7">
        <v>318.2</v>
      </c>
      <c r="L10" s="7"/>
      <c r="M10" s="7"/>
      <c r="N10" s="7">
        <v>44.06</v>
      </c>
      <c r="O10" s="7">
        <v>64.38</v>
      </c>
      <c r="P10" s="7">
        <v>454.9</v>
      </c>
      <c r="Q10" s="7">
        <v>364.65</v>
      </c>
      <c r="R10" s="7">
        <v>22.1</v>
      </c>
      <c r="S10" s="7">
        <v>45.02</v>
      </c>
      <c r="T10" s="7">
        <v>5.3</v>
      </c>
      <c r="U10" s="7">
        <v>10.09</v>
      </c>
      <c r="V10" s="7">
        <v>6.43</v>
      </c>
      <c r="W10" s="7">
        <v>5.0199999999999996</v>
      </c>
      <c r="X10" s="7">
        <v>7.4</v>
      </c>
      <c r="Y10" s="7">
        <v>9.01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9">
        <f t="shared" si="0"/>
        <v>608.85799999999983</v>
      </c>
      <c r="AK10" s="89">
        <f t="shared" si="1"/>
        <v>1019.9599999999999</v>
      </c>
    </row>
    <row r="11" spans="1:37" ht="20.25" customHeight="1" x14ac:dyDescent="0.25">
      <c r="A11" s="3" t="s">
        <v>21</v>
      </c>
      <c r="B11" s="7"/>
      <c r="C11" s="7"/>
      <c r="D11" s="7">
        <v>0.44500000000000001</v>
      </c>
      <c r="E11" s="7">
        <v>5.65</v>
      </c>
      <c r="F11" s="7">
        <v>2.4300000000000002</v>
      </c>
      <c r="G11" s="7">
        <v>4.22</v>
      </c>
      <c r="H11" s="7">
        <v>1.33</v>
      </c>
      <c r="I11" s="7">
        <v>23.84</v>
      </c>
      <c r="J11" s="7">
        <v>4.4400000000000004</v>
      </c>
      <c r="K11" s="7">
        <v>35.83</v>
      </c>
      <c r="L11" s="7"/>
      <c r="M11" s="7"/>
      <c r="N11" s="7">
        <v>2.4300000000000002</v>
      </c>
      <c r="O11" s="7">
        <v>4.41</v>
      </c>
      <c r="P11" s="7"/>
      <c r="Q11" s="7"/>
      <c r="R11" s="7">
        <v>0.27</v>
      </c>
      <c r="S11" s="7">
        <v>0.17</v>
      </c>
      <c r="T11" s="7">
        <v>4.78</v>
      </c>
      <c r="U11" s="7">
        <v>8.6999999999999993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9">
        <f t="shared" si="0"/>
        <v>16.125</v>
      </c>
      <c r="AK11" s="89">
        <f t="shared" si="1"/>
        <v>82.82</v>
      </c>
    </row>
    <row r="12" spans="1:37" ht="20.25" customHeight="1" x14ac:dyDescent="0.25">
      <c r="A12" s="3" t="s">
        <v>22</v>
      </c>
      <c r="B12" s="7"/>
      <c r="C12" s="7"/>
      <c r="D12" s="7">
        <v>2.3010000000000002</v>
      </c>
      <c r="E12" s="7">
        <v>15.78</v>
      </c>
      <c r="F12" s="7">
        <v>0.44</v>
      </c>
      <c r="G12" s="7">
        <v>0.15</v>
      </c>
      <c r="H12" s="7">
        <v>0.28000000000000003</v>
      </c>
      <c r="I12" s="7">
        <v>0.15</v>
      </c>
      <c r="J12" s="7">
        <v>4.1500000000000004</v>
      </c>
      <c r="K12" s="7">
        <v>6.14</v>
      </c>
      <c r="L12" s="7"/>
      <c r="M12" s="7"/>
      <c r="N12" s="7">
        <v>0.14000000000000001</v>
      </c>
      <c r="O12" s="7">
        <v>0.05</v>
      </c>
      <c r="P12" s="7">
        <v>0.08</v>
      </c>
      <c r="Q12" s="7">
        <v>0.02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9">
        <f t="shared" si="0"/>
        <v>7.391</v>
      </c>
      <c r="AK12" s="89">
        <f t="shared" si="1"/>
        <v>22.29</v>
      </c>
    </row>
    <row r="13" spans="1:37" ht="20.25" customHeight="1" x14ac:dyDescent="0.25">
      <c r="A13" s="3" t="s">
        <v>23</v>
      </c>
      <c r="B13" s="7"/>
      <c r="C13" s="7"/>
      <c r="D13" s="7">
        <v>3.4000000000000002E-2</v>
      </c>
      <c r="E13" s="7">
        <v>0.04</v>
      </c>
      <c r="F13" s="7">
        <v>0.56000000000000005</v>
      </c>
      <c r="G13" s="7">
        <v>0.54</v>
      </c>
      <c r="H13" s="7">
        <v>0.02</v>
      </c>
      <c r="I13" s="7">
        <v>0.02</v>
      </c>
      <c r="J13" s="7">
        <v>0.54</v>
      </c>
      <c r="K13" s="7">
        <v>0.46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v>3.79</v>
      </c>
      <c r="AI13" s="7">
        <v>0.01</v>
      </c>
      <c r="AJ13" s="89">
        <f t="shared" si="0"/>
        <v>4.944</v>
      </c>
      <c r="AK13" s="89">
        <f t="shared" si="1"/>
        <v>1.07</v>
      </c>
    </row>
    <row r="14" spans="1:37" ht="20.25" customHeight="1" x14ac:dyDescent="0.25">
      <c r="A14" s="3" t="s">
        <v>24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9">
        <f t="shared" si="0"/>
        <v>0</v>
      </c>
      <c r="AK14" s="89">
        <f t="shared" si="1"/>
        <v>0</v>
      </c>
    </row>
    <row r="15" spans="1:37" ht="20.25" customHeight="1" x14ac:dyDescent="0.25">
      <c r="A15" s="3" t="s">
        <v>159</v>
      </c>
      <c r="B15" s="7">
        <v>32.67</v>
      </c>
      <c r="C15" s="7">
        <v>19.68</v>
      </c>
      <c r="D15" s="7">
        <v>18.957000000000001</v>
      </c>
      <c r="E15" s="7">
        <v>52.41</v>
      </c>
      <c r="F15" s="7">
        <v>88.97</v>
      </c>
      <c r="G15" s="7">
        <v>114.15</v>
      </c>
      <c r="H15" s="7">
        <v>13.36</v>
      </c>
      <c r="I15" s="7">
        <v>63.62</v>
      </c>
      <c r="J15" s="7">
        <v>5.19</v>
      </c>
      <c r="K15" s="7">
        <v>5.47</v>
      </c>
      <c r="L15" s="7">
        <v>25.08</v>
      </c>
      <c r="M15" s="7">
        <v>1.05</v>
      </c>
      <c r="N15" s="7">
        <v>2.65</v>
      </c>
      <c r="O15" s="7">
        <v>0.82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>
        <v>0.04</v>
      </c>
      <c r="AA15" s="7">
        <v>0.01</v>
      </c>
      <c r="AB15" s="7">
        <v>0.15</v>
      </c>
      <c r="AC15" s="7">
        <v>0.15</v>
      </c>
      <c r="AD15" s="7">
        <v>0.12</v>
      </c>
      <c r="AE15" s="7">
        <v>0.17</v>
      </c>
      <c r="AF15" s="7">
        <v>16.8</v>
      </c>
      <c r="AG15" s="7">
        <v>87</v>
      </c>
      <c r="AH15" s="7">
        <v>2.52</v>
      </c>
      <c r="AI15" s="7">
        <v>0.99</v>
      </c>
      <c r="AJ15" s="89">
        <f t="shared" si="0"/>
        <v>206.50700000000001</v>
      </c>
      <c r="AK15" s="89">
        <f t="shared" si="1"/>
        <v>345.52</v>
      </c>
    </row>
    <row r="16" spans="1:37" ht="20.25" customHeight="1" x14ac:dyDescent="0.25">
      <c r="A16" s="3" t="s">
        <v>26</v>
      </c>
      <c r="B16" s="7">
        <v>85.43</v>
      </c>
      <c r="C16" s="7">
        <v>40.69</v>
      </c>
      <c r="D16" s="7">
        <v>4.8</v>
      </c>
      <c r="E16" s="7">
        <v>22.99</v>
      </c>
      <c r="F16" s="7">
        <v>1.58</v>
      </c>
      <c r="G16" s="7">
        <v>1.49</v>
      </c>
      <c r="H16" s="7">
        <v>2.4700000000000002</v>
      </c>
      <c r="I16" s="7">
        <v>6.82</v>
      </c>
      <c r="J16" s="7">
        <v>0.08</v>
      </c>
      <c r="K16" s="7">
        <v>0.63</v>
      </c>
      <c r="L16" s="7">
        <v>39.729999999999997</v>
      </c>
      <c r="M16" s="7">
        <v>16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>
        <v>0.11</v>
      </c>
      <c r="AA16" s="7">
        <v>0</v>
      </c>
      <c r="AB16" s="7">
        <v>20.63</v>
      </c>
      <c r="AC16" s="7">
        <v>14.19</v>
      </c>
      <c r="AD16" s="7">
        <v>1.07</v>
      </c>
      <c r="AE16" s="7">
        <v>0.08</v>
      </c>
      <c r="AF16" s="7">
        <v>11.24</v>
      </c>
      <c r="AG16" s="7">
        <v>37.299999999999997</v>
      </c>
      <c r="AH16" s="7">
        <v>0.15</v>
      </c>
      <c r="AI16" s="7">
        <v>0.04</v>
      </c>
      <c r="AJ16" s="89">
        <f t="shared" si="0"/>
        <v>167.29000000000002</v>
      </c>
      <c r="AK16" s="89">
        <f t="shared" si="1"/>
        <v>140.22999999999996</v>
      </c>
    </row>
    <row r="17" spans="1:37" ht="20.25" customHeight="1" x14ac:dyDescent="0.25">
      <c r="A17" s="3" t="s">
        <v>27</v>
      </c>
      <c r="B17" s="7"/>
      <c r="C17" s="7"/>
      <c r="D17" s="7">
        <v>10.685</v>
      </c>
      <c r="E17" s="7">
        <v>20.69</v>
      </c>
      <c r="F17" s="7">
        <v>72.13</v>
      </c>
      <c r="G17" s="7">
        <v>132.44</v>
      </c>
      <c r="H17" s="7">
        <v>1.39</v>
      </c>
      <c r="I17" s="7">
        <v>1.58</v>
      </c>
      <c r="J17" s="7">
        <v>81.17</v>
      </c>
      <c r="K17" s="7">
        <v>424.5</v>
      </c>
      <c r="L17" s="7"/>
      <c r="M17" s="7"/>
      <c r="N17" s="7">
        <v>144.02000000000001</v>
      </c>
      <c r="O17" s="7">
        <v>94.91</v>
      </c>
      <c r="P17" s="7"/>
      <c r="Q17" s="7"/>
      <c r="R17" s="7"/>
      <c r="S17" s="7"/>
      <c r="T17" s="7">
        <v>30.81</v>
      </c>
      <c r="U17" s="7">
        <v>25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9">
        <f t="shared" si="0"/>
        <v>340.20499999999998</v>
      </c>
      <c r="AK17" s="89">
        <f t="shared" si="1"/>
        <v>699.12</v>
      </c>
    </row>
    <row r="18" spans="1:37" ht="20.25" customHeight="1" x14ac:dyDescent="0.25">
      <c r="A18" s="3" t="s">
        <v>28</v>
      </c>
      <c r="B18" s="7"/>
      <c r="C18" s="7"/>
      <c r="D18" s="8">
        <v>1.06</v>
      </c>
      <c r="E18" s="7">
        <v>1.04</v>
      </c>
      <c r="F18" s="7">
        <v>99.5</v>
      </c>
      <c r="G18" s="7">
        <v>45.6</v>
      </c>
      <c r="H18" s="7">
        <v>13.48</v>
      </c>
      <c r="I18" s="7">
        <v>32.049999999999997</v>
      </c>
      <c r="J18" s="7">
        <v>3.5</v>
      </c>
      <c r="K18" s="7">
        <v>40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>
        <v>5.7</v>
      </c>
      <c r="AG18" s="7">
        <v>11.4</v>
      </c>
      <c r="AH18" s="7"/>
      <c r="AI18" s="7"/>
      <c r="AJ18" s="89">
        <f t="shared" si="0"/>
        <v>123.24000000000001</v>
      </c>
      <c r="AK18" s="89">
        <f t="shared" si="1"/>
        <v>130.09</v>
      </c>
    </row>
    <row r="19" spans="1:37" ht="20.25" customHeight="1" x14ac:dyDescent="0.25">
      <c r="A19" s="4" t="s">
        <v>29</v>
      </c>
      <c r="B19" s="7"/>
      <c r="C19" s="7"/>
      <c r="D19" s="7">
        <v>2.4</v>
      </c>
      <c r="E19" s="7">
        <v>3.84</v>
      </c>
      <c r="F19" s="7">
        <v>6.5</v>
      </c>
      <c r="G19" s="7">
        <v>3.9</v>
      </c>
      <c r="H19" s="7">
        <v>1.4</v>
      </c>
      <c r="I19" s="7">
        <v>16.399999999999999</v>
      </c>
      <c r="J19" s="7">
        <v>0.17</v>
      </c>
      <c r="K19" s="7"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9">
        <f t="shared" si="0"/>
        <v>10.47</v>
      </c>
      <c r="AK19" s="89">
        <f t="shared" si="1"/>
        <v>24.14</v>
      </c>
    </row>
    <row r="20" spans="1:37" ht="20.25" customHeight="1" x14ac:dyDescent="0.25">
      <c r="A20" s="3" t="s">
        <v>30</v>
      </c>
      <c r="B20" s="7">
        <v>0.95</v>
      </c>
      <c r="C20" s="7">
        <v>0.64</v>
      </c>
      <c r="D20" s="7">
        <v>9.6419999999999995</v>
      </c>
      <c r="E20" s="7">
        <v>62.99</v>
      </c>
      <c r="F20" s="7">
        <v>2.0099999999999998</v>
      </c>
      <c r="G20" s="7">
        <v>1.56</v>
      </c>
      <c r="H20" s="7">
        <v>2.17</v>
      </c>
      <c r="I20" s="7">
        <v>12.53</v>
      </c>
      <c r="J20" s="7">
        <v>0.28000000000000003</v>
      </c>
      <c r="K20" s="7">
        <v>1.1100000000000001</v>
      </c>
      <c r="L20" s="7"/>
      <c r="M20" s="7"/>
      <c r="N20" s="7">
        <v>0.01</v>
      </c>
      <c r="O20" s="7">
        <v>0.05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>
        <v>2.44</v>
      </c>
      <c r="AA20" s="7">
        <v>5</v>
      </c>
      <c r="AB20" s="7"/>
      <c r="AC20" s="7"/>
      <c r="AD20" s="7"/>
      <c r="AE20" s="7"/>
      <c r="AF20" s="7"/>
      <c r="AG20" s="7"/>
      <c r="AH20" s="7"/>
      <c r="AI20" s="7"/>
      <c r="AJ20" s="89">
        <f t="shared" si="0"/>
        <v>17.501999999999999</v>
      </c>
      <c r="AK20" s="89">
        <f t="shared" si="1"/>
        <v>83.88</v>
      </c>
    </row>
    <row r="21" spans="1:37" ht="20.25" customHeight="1" x14ac:dyDescent="0.25">
      <c r="A21" s="3" t="s">
        <v>31</v>
      </c>
      <c r="B21" s="7">
        <v>7.0000000000000007E-2</v>
      </c>
      <c r="C21" s="7">
        <v>0</v>
      </c>
      <c r="D21" s="7">
        <v>7.65</v>
      </c>
      <c r="E21" s="7">
        <v>31.2</v>
      </c>
      <c r="F21" s="7">
        <v>9.14</v>
      </c>
      <c r="G21" s="7">
        <v>9.33</v>
      </c>
      <c r="H21" s="7">
        <v>6.35</v>
      </c>
      <c r="I21" s="7">
        <v>25.13</v>
      </c>
      <c r="J21" s="7">
        <v>0.02</v>
      </c>
      <c r="K21" s="7">
        <v>0.01</v>
      </c>
      <c r="L21" s="7"/>
      <c r="M21" s="7"/>
      <c r="N21" s="7">
        <v>0.06</v>
      </c>
      <c r="O21" s="7">
        <v>0.02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>
        <v>0.01</v>
      </c>
      <c r="AG21" s="7">
        <v>0.03</v>
      </c>
      <c r="AH21" s="7"/>
      <c r="AI21" s="7"/>
      <c r="AJ21" s="89">
        <f t="shared" si="0"/>
        <v>23.3</v>
      </c>
      <c r="AK21" s="89">
        <f t="shared" si="1"/>
        <v>65.72</v>
      </c>
    </row>
    <row r="22" spans="1:37" ht="20.25" customHeight="1" x14ac:dyDescent="0.25">
      <c r="A22" s="26" t="s">
        <v>32</v>
      </c>
      <c r="B22" s="7">
        <v>0.23</v>
      </c>
      <c r="C22" s="7">
        <v>0.01</v>
      </c>
      <c r="D22" s="7">
        <v>5.32</v>
      </c>
      <c r="E22" s="7">
        <v>36</v>
      </c>
      <c r="F22" s="7">
        <v>0.8</v>
      </c>
      <c r="G22" s="7">
        <v>1</v>
      </c>
      <c r="H22" s="7">
        <v>0.12</v>
      </c>
      <c r="I22" s="7">
        <v>0.5</v>
      </c>
      <c r="J22" s="7">
        <v>0.1</v>
      </c>
      <c r="K22" s="7">
        <v>0.15</v>
      </c>
      <c r="L22" s="7">
        <v>3.2</v>
      </c>
      <c r="M22" s="7">
        <v>1.5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9">
        <f t="shared" si="0"/>
        <v>9.77</v>
      </c>
      <c r="AK22" s="89">
        <f t="shared" si="1"/>
        <v>39.159999999999997</v>
      </c>
    </row>
    <row r="23" spans="1:37" ht="20.25" customHeight="1" x14ac:dyDescent="0.25">
      <c r="A23" s="3" t="s">
        <v>175</v>
      </c>
      <c r="B23" s="7"/>
      <c r="C23" s="7"/>
      <c r="D23" s="7">
        <v>15.843999999999999</v>
      </c>
      <c r="E23" s="7">
        <v>35</v>
      </c>
      <c r="F23" s="7">
        <v>75</v>
      </c>
      <c r="G23" s="7">
        <v>70</v>
      </c>
      <c r="H23" s="7">
        <v>2.48</v>
      </c>
      <c r="I23" s="7">
        <v>30</v>
      </c>
      <c r="J23" s="7">
        <v>10.9</v>
      </c>
      <c r="K23" s="7">
        <v>35.5</v>
      </c>
      <c r="L23" s="7"/>
      <c r="M23" s="7"/>
      <c r="N23" s="7">
        <v>19.100000000000001</v>
      </c>
      <c r="O23" s="7">
        <v>11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9">
        <f t="shared" si="0"/>
        <v>123.32400000000001</v>
      </c>
      <c r="AK23" s="89">
        <f t="shared" si="1"/>
        <v>181.5</v>
      </c>
    </row>
    <row r="24" spans="1:37" ht="20.25" customHeight="1" x14ac:dyDescent="0.25">
      <c r="A24" s="26" t="s">
        <v>165</v>
      </c>
      <c r="B24" s="7">
        <v>0.01</v>
      </c>
      <c r="C24" s="7">
        <v>0.01</v>
      </c>
      <c r="D24" s="7"/>
      <c r="E24" s="7"/>
      <c r="F24" s="7">
        <v>0.01</v>
      </c>
      <c r="G24" s="7">
        <v>0.01</v>
      </c>
      <c r="H24" s="7">
        <v>0.01</v>
      </c>
      <c r="I24" s="7">
        <v>0.01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>
        <v>0.06</v>
      </c>
      <c r="AG24" s="7">
        <v>0.35</v>
      </c>
      <c r="AH24" s="7"/>
      <c r="AI24" s="7"/>
      <c r="AJ24" s="89">
        <f t="shared" si="0"/>
        <v>0.09</v>
      </c>
      <c r="AK24" s="89">
        <f t="shared" si="1"/>
        <v>0.38</v>
      </c>
    </row>
    <row r="25" spans="1:37" ht="20.25" customHeight="1" x14ac:dyDescent="0.25">
      <c r="A25" s="3" t="s">
        <v>33</v>
      </c>
      <c r="B25" s="7"/>
      <c r="C25" s="7"/>
      <c r="D25" s="7"/>
      <c r="E25" s="7"/>
      <c r="F25" s="7">
        <v>10.6</v>
      </c>
      <c r="G25" s="7">
        <v>17.7</v>
      </c>
      <c r="H25" s="7">
        <v>0.78</v>
      </c>
      <c r="I25" s="7">
        <v>2.71</v>
      </c>
      <c r="J25" s="7">
        <v>5.89</v>
      </c>
      <c r="K25" s="7">
        <v>65.599999999999994</v>
      </c>
      <c r="L25" s="7"/>
      <c r="M25" s="7"/>
      <c r="N25" s="7"/>
      <c r="O25" s="7"/>
      <c r="P25" s="7"/>
      <c r="Q25" s="7"/>
      <c r="T25" s="7"/>
      <c r="U25" s="7"/>
      <c r="V25" s="7"/>
      <c r="W25" s="7"/>
      <c r="X25" s="7">
        <v>4.07</v>
      </c>
      <c r="Y25" s="7">
        <v>5.51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9">
        <f t="shared" si="0"/>
        <v>21.34</v>
      </c>
      <c r="AK25" s="89">
        <f t="shared" si="1"/>
        <v>91.52</v>
      </c>
    </row>
    <row r="26" spans="1:37" ht="20.25" customHeight="1" x14ac:dyDescent="0.25">
      <c r="A26" s="3" t="s">
        <v>34</v>
      </c>
      <c r="B26" s="7"/>
      <c r="C26" s="7"/>
      <c r="D26" s="7">
        <v>0.12</v>
      </c>
      <c r="E26" s="7">
        <v>0.23</v>
      </c>
      <c r="F26" s="7">
        <v>9.67</v>
      </c>
      <c r="G26" s="7">
        <v>12.81</v>
      </c>
      <c r="H26" s="7">
        <v>0.14000000000000001</v>
      </c>
      <c r="I26" s="7">
        <v>0.39</v>
      </c>
      <c r="J26" s="7">
        <v>50.16</v>
      </c>
      <c r="K26" s="7">
        <v>172.04</v>
      </c>
      <c r="L26" s="7"/>
      <c r="M26" s="7"/>
      <c r="N26" s="7">
        <v>249.31</v>
      </c>
      <c r="O26" s="7">
        <v>198.76</v>
      </c>
      <c r="P26" s="7">
        <v>434.78</v>
      </c>
      <c r="Q26" s="7">
        <v>120.83</v>
      </c>
      <c r="R26" s="7">
        <v>15.56</v>
      </c>
      <c r="S26" s="7">
        <v>13.85</v>
      </c>
      <c r="T26" s="7">
        <v>81.7</v>
      </c>
      <c r="U26" s="7">
        <v>84.19</v>
      </c>
      <c r="V26" s="7">
        <v>12.62</v>
      </c>
      <c r="W26" s="7">
        <v>9.2200000000000006</v>
      </c>
      <c r="X26" s="7">
        <v>12.8</v>
      </c>
      <c r="Y26" s="7">
        <v>6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89">
        <f t="shared" si="0"/>
        <v>866.8599999999999</v>
      </c>
      <c r="AK26" s="89">
        <f t="shared" si="1"/>
        <v>618.31999999999994</v>
      </c>
    </row>
    <row r="27" spans="1:37" ht="20.25" customHeight="1" x14ac:dyDescent="0.25">
      <c r="A27" s="3" t="s">
        <v>35</v>
      </c>
      <c r="B27" s="7"/>
      <c r="C27" s="7"/>
      <c r="D27" s="7">
        <v>9.3000000000000007</v>
      </c>
      <c r="E27" s="7">
        <v>52.11</v>
      </c>
      <c r="F27" s="7"/>
      <c r="G27" s="7"/>
      <c r="H27" s="7">
        <v>1.7</v>
      </c>
      <c r="I27" s="7">
        <v>4.95</v>
      </c>
      <c r="J27" s="7"/>
      <c r="K27" s="7"/>
      <c r="L27" s="7">
        <v>23.08</v>
      </c>
      <c r="M27" s="7">
        <v>4.08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89">
        <f t="shared" si="0"/>
        <v>34.08</v>
      </c>
      <c r="AK27" s="89">
        <f t="shared" si="1"/>
        <v>61.14</v>
      </c>
    </row>
    <row r="28" spans="1:37" ht="20.25" customHeight="1" x14ac:dyDescent="0.25">
      <c r="A28" s="3" t="s">
        <v>36</v>
      </c>
      <c r="B28" s="7">
        <v>3.92</v>
      </c>
      <c r="C28" s="7">
        <v>0.86</v>
      </c>
      <c r="D28" s="7">
        <v>0.30399999999999999</v>
      </c>
      <c r="E28" s="7">
        <v>2.12</v>
      </c>
      <c r="F28" s="7">
        <v>41.4</v>
      </c>
      <c r="G28" s="7">
        <v>11.29</v>
      </c>
      <c r="H28" s="7">
        <v>31.97</v>
      </c>
      <c r="I28" s="7">
        <v>117.42</v>
      </c>
      <c r="J28" s="7">
        <v>0.51</v>
      </c>
      <c r="K28" s="7">
        <v>2.89</v>
      </c>
      <c r="L28" s="7">
        <v>5.16</v>
      </c>
      <c r="M28" s="7">
        <v>0.95</v>
      </c>
      <c r="N28" s="7">
        <v>7.53</v>
      </c>
      <c r="O28" s="7">
        <v>2.61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>
        <v>0.09</v>
      </c>
      <c r="AC28" s="7">
        <v>0</v>
      </c>
      <c r="AD28" s="7">
        <v>0.97</v>
      </c>
      <c r="AE28" s="7">
        <v>0.96</v>
      </c>
      <c r="AF28" s="7">
        <v>15.65</v>
      </c>
      <c r="AG28" s="7">
        <v>48.81</v>
      </c>
      <c r="AH28" s="7"/>
      <c r="AI28" s="7"/>
      <c r="AJ28" s="89">
        <f t="shared" si="0"/>
        <v>107.504</v>
      </c>
      <c r="AK28" s="89">
        <f t="shared" si="1"/>
        <v>187.91</v>
      </c>
    </row>
    <row r="29" spans="1:37" ht="20.25" customHeight="1" x14ac:dyDescent="0.25">
      <c r="A29" s="3" t="s">
        <v>218</v>
      </c>
      <c r="B29" s="7"/>
      <c r="C29" s="7"/>
      <c r="D29" s="7">
        <v>2.1859999999999999</v>
      </c>
      <c r="E29" s="7">
        <v>16.54</v>
      </c>
      <c r="F29" s="7">
        <v>73.27</v>
      </c>
      <c r="G29" s="7">
        <v>253.26</v>
      </c>
      <c r="H29" s="7">
        <v>43.48</v>
      </c>
      <c r="I29" s="7">
        <v>216.27</v>
      </c>
      <c r="J29" s="7">
        <v>0.32</v>
      </c>
      <c r="K29" s="7">
        <v>1.68</v>
      </c>
      <c r="L29" s="7"/>
      <c r="M29" s="7"/>
      <c r="N29" s="7">
        <v>1.6</v>
      </c>
      <c r="O29" s="7">
        <v>0.38</v>
      </c>
      <c r="P29" s="7"/>
      <c r="Q29" s="7"/>
      <c r="R29" s="7"/>
      <c r="S29" s="7"/>
      <c r="T29" s="7"/>
      <c r="U29" s="7"/>
      <c r="V29" s="7">
        <v>1.06</v>
      </c>
      <c r="W29" s="7">
        <v>0.48</v>
      </c>
      <c r="X29" s="7"/>
      <c r="Y29" s="7"/>
      <c r="Z29" s="7"/>
      <c r="AA29" s="7"/>
      <c r="AB29" s="7"/>
      <c r="AC29" s="7"/>
      <c r="AD29" s="7"/>
      <c r="AE29" s="7"/>
      <c r="AF29" s="7">
        <v>0.44</v>
      </c>
      <c r="AG29" s="7">
        <v>5.32</v>
      </c>
      <c r="AH29" s="7"/>
      <c r="AI29" s="7"/>
      <c r="AJ29" s="89">
        <f t="shared" si="0"/>
        <v>122.35599999999997</v>
      </c>
      <c r="AK29" s="89">
        <f t="shared" si="1"/>
        <v>493.93000000000006</v>
      </c>
    </row>
    <row r="30" spans="1:37" ht="20.25" customHeight="1" x14ac:dyDescent="0.25">
      <c r="A30" s="3" t="s">
        <v>37</v>
      </c>
      <c r="B30" s="7">
        <v>0.24</v>
      </c>
      <c r="C30" s="7">
        <v>0.15</v>
      </c>
      <c r="D30" s="7">
        <v>1.8</v>
      </c>
      <c r="E30" s="7">
        <v>7.6</v>
      </c>
      <c r="F30" s="7">
        <v>2.35</v>
      </c>
      <c r="G30" s="7">
        <v>3.7</v>
      </c>
      <c r="H30" s="7">
        <v>1.3</v>
      </c>
      <c r="I30" s="7">
        <v>6.59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89">
        <f t="shared" si="0"/>
        <v>5.69</v>
      </c>
      <c r="AK30" s="89">
        <f t="shared" si="1"/>
        <v>18.04</v>
      </c>
    </row>
    <row r="31" spans="1:37" ht="20.25" customHeight="1" x14ac:dyDescent="0.25">
      <c r="A31" s="3" t="s">
        <v>38</v>
      </c>
      <c r="B31" s="7"/>
      <c r="C31" s="7"/>
      <c r="D31" s="7">
        <v>0.94399999999999995</v>
      </c>
      <c r="E31" s="7">
        <v>4.3499999999999996</v>
      </c>
      <c r="F31" s="7">
        <v>13.28</v>
      </c>
      <c r="G31" s="7">
        <v>10.95</v>
      </c>
      <c r="H31" s="7">
        <v>2</v>
      </c>
      <c r="I31" s="7">
        <v>6</v>
      </c>
      <c r="J31" s="7">
        <v>33.86</v>
      </c>
      <c r="K31" s="7">
        <v>196.13</v>
      </c>
      <c r="L31" s="7"/>
      <c r="M31" s="7"/>
      <c r="N31" s="7">
        <v>6.87</v>
      </c>
      <c r="O31" s="7">
        <v>3.33</v>
      </c>
      <c r="P31" s="7">
        <v>0</v>
      </c>
      <c r="Q31" s="7">
        <v>0.01</v>
      </c>
      <c r="R31" s="7">
        <v>0.73</v>
      </c>
      <c r="S31" s="7">
        <v>0.71</v>
      </c>
      <c r="T31" s="7">
        <v>0.36</v>
      </c>
      <c r="U31" s="7">
        <v>0.23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89">
        <f t="shared" si="0"/>
        <v>58.043999999999997</v>
      </c>
      <c r="AK31" s="89">
        <f t="shared" si="1"/>
        <v>221.71</v>
      </c>
    </row>
    <row r="32" spans="1:37" ht="20.25" customHeight="1" x14ac:dyDescent="0.25">
      <c r="A32" s="3" t="s">
        <v>88</v>
      </c>
      <c r="B32" s="7"/>
      <c r="C32" s="7"/>
      <c r="D32" s="7">
        <v>2.355</v>
      </c>
      <c r="E32" s="7">
        <v>23.44</v>
      </c>
      <c r="F32" s="7">
        <v>2</v>
      </c>
      <c r="G32" s="7">
        <v>7.2</v>
      </c>
      <c r="H32" s="7">
        <v>1.34</v>
      </c>
      <c r="I32" s="7">
        <v>2.4900000000000002</v>
      </c>
      <c r="J32" s="7">
        <v>1.0900000000000001</v>
      </c>
      <c r="K32" s="7">
        <v>1.54</v>
      </c>
      <c r="L32" s="7"/>
      <c r="M32" s="7"/>
      <c r="N32" s="7">
        <v>0.9</v>
      </c>
      <c r="O32" s="7">
        <v>3.8</v>
      </c>
      <c r="P32" s="7"/>
      <c r="Q32" s="7"/>
      <c r="R32" s="7"/>
      <c r="S32" s="7"/>
      <c r="T32" s="7">
        <v>0.4</v>
      </c>
      <c r="U32" s="7">
        <v>2.61</v>
      </c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9">
        <f t="shared" si="0"/>
        <v>8.0850000000000009</v>
      </c>
      <c r="AK32" s="89">
        <f t="shared" si="1"/>
        <v>41.08</v>
      </c>
    </row>
    <row r="33" spans="1:37" ht="20.25" customHeight="1" x14ac:dyDescent="0.25">
      <c r="A33" s="3" t="s">
        <v>39</v>
      </c>
      <c r="B33" s="7"/>
      <c r="C33" s="7"/>
      <c r="D33" s="7">
        <v>11.5</v>
      </c>
      <c r="E33" s="7">
        <v>25</v>
      </c>
      <c r="F33" s="7">
        <v>63.6</v>
      </c>
      <c r="G33" s="7">
        <v>100</v>
      </c>
      <c r="H33" s="7">
        <v>15.8</v>
      </c>
      <c r="I33" s="7">
        <v>42</v>
      </c>
      <c r="J33" s="7">
        <v>3.35</v>
      </c>
      <c r="K33" s="7">
        <v>40</v>
      </c>
      <c r="L33" s="7">
        <v>3.31</v>
      </c>
      <c r="M33" s="7">
        <v>0.78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89">
        <f t="shared" si="0"/>
        <v>97.559999999999988</v>
      </c>
      <c r="AK33" s="89">
        <f t="shared" si="1"/>
        <v>207.78</v>
      </c>
    </row>
    <row r="34" spans="1:37" ht="20.25" customHeight="1" x14ac:dyDescent="0.25">
      <c r="A34" s="3" t="s">
        <v>9</v>
      </c>
      <c r="B34" s="25">
        <f>SUM(B3:B33)</f>
        <v>128.67000000000002</v>
      </c>
      <c r="C34" s="25">
        <f t="shared" ref="C34:AK34" si="2">SUM(C3:C33)</f>
        <v>64.64</v>
      </c>
      <c r="D34" s="25">
        <f t="shared" si="2"/>
        <v>141.65299999999999</v>
      </c>
      <c r="E34" s="25">
        <f t="shared" si="2"/>
        <v>760.31000000000006</v>
      </c>
      <c r="F34" s="25">
        <f t="shared" si="2"/>
        <v>760.9799999999999</v>
      </c>
      <c r="G34" s="25">
        <f t="shared" si="2"/>
        <v>1605.0099999999998</v>
      </c>
      <c r="H34" s="25">
        <f t="shared" si="2"/>
        <v>184.44000000000005</v>
      </c>
      <c r="I34" s="25">
        <f t="shared" si="2"/>
        <v>830.38999999999987</v>
      </c>
      <c r="J34" s="25">
        <f t="shared" si="2"/>
        <v>262.06</v>
      </c>
      <c r="K34" s="25">
        <f t="shared" si="2"/>
        <v>1425.46</v>
      </c>
      <c r="L34" s="25">
        <f t="shared" si="2"/>
        <v>99.56</v>
      </c>
      <c r="M34" s="25">
        <f t="shared" si="2"/>
        <v>24.360000000000003</v>
      </c>
      <c r="N34" s="25">
        <f t="shared" si="2"/>
        <v>552.66</v>
      </c>
      <c r="O34" s="25">
        <f t="shared" si="2"/>
        <v>461.71000000000004</v>
      </c>
      <c r="P34" s="25">
        <f t="shared" si="2"/>
        <v>889.76</v>
      </c>
      <c r="Q34" s="25">
        <f t="shared" si="2"/>
        <v>485.50999999999993</v>
      </c>
      <c r="R34" s="25">
        <f t="shared" si="2"/>
        <v>38.659999999999997</v>
      </c>
      <c r="S34" s="25">
        <f t="shared" si="2"/>
        <v>59.750000000000007</v>
      </c>
      <c r="T34" s="25">
        <f t="shared" si="2"/>
        <v>123.35000000000001</v>
      </c>
      <c r="U34" s="25">
        <f t="shared" si="2"/>
        <v>130.82</v>
      </c>
      <c r="V34" s="25">
        <f t="shared" si="2"/>
        <v>24.09</v>
      </c>
      <c r="W34" s="25">
        <f t="shared" si="2"/>
        <v>16.420000000000002</v>
      </c>
      <c r="X34" s="25">
        <f t="shared" si="2"/>
        <v>24.270000000000003</v>
      </c>
      <c r="Y34" s="25">
        <f t="shared" si="2"/>
        <v>20.52</v>
      </c>
      <c r="Z34" s="25">
        <f t="shared" si="2"/>
        <v>2.7399999999999998</v>
      </c>
      <c r="AA34" s="25">
        <f t="shared" si="2"/>
        <v>5.05</v>
      </c>
      <c r="AB34" s="25">
        <f t="shared" si="2"/>
        <v>21.119999999999997</v>
      </c>
      <c r="AC34" s="25">
        <f t="shared" si="2"/>
        <v>14.4</v>
      </c>
      <c r="AD34" s="25">
        <f t="shared" si="2"/>
        <v>2.3200000000000003</v>
      </c>
      <c r="AE34" s="25">
        <f t="shared" si="2"/>
        <v>1.22</v>
      </c>
      <c r="AF34" s="25">
        <f t="shared" si="2"/>
        <v>54.480000000000004</v>
      </c>
      <c r="AG34" s="25">
        <f t="shared" si="2"/>
        <v>201.66</v>
      </c>
      <c r="AH34" s="25">
        <f t="shared" si="2"/>
        <v>6.4700000000000006</v>
      </c>
      <c r="AI34" s="25">
        <f t="shared" si="2"/>
        <v>1.05</v>
      </c>
      <c r="AJ34" s="25">
        <f t="shared" si="2"/>
        <v>3317.282999999999</v>
      </c>
      <c r="AK34" s="25">
        <f t="shared" si="2"/>
        <v>6108.2800000000007</v>
      </c>
    </row>
    <row r="35" spans="1:37" x14ac:dyDescent="0.25">
      <c r="A35" s="83" t="s">
        <v>267</v>
      </c>
    </row>
    <row r="36" spans="1:37" x14ac:dyDescent="0.25">
      <c r="A36" s="83" t="s">
        <v>192</v>
      </c>
    </row>
  </sheetData>
  <mergeCells count="18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AH1:AI1"/>
    <mergeCell ref="AJ1:AK1"/>
    <mergeCell ref="Z1:AA1"/>
    <mergeCell ref="AB1:AC1"/>
    <mergeCell ref="AD1:AE1"/>
    <mergeCell ref="AF1:AG1"/>
  </mergeCells>
  <phoneticPr fontId="20" type="noConversion"/>
  <pageMargins left="0.78740157480314998" right="0.196850393700787" top="1.1023622047244099" bottom="0.511811023622047" header="0.59055118110236204" footer="0.15748031496063"/>
  <pageSetup scale="70" orientation="landscape" verticalDpi="300" r:id="rId1"/>
  <headerFooter alignWithMargins="0">
    <oddHeader xml:space="preserve">&amp;C&amp;"-,Bold"&amp;14Area and Production of Spices  2014-15 (Final)&amp;R&amp;"-,Bold"&amp;9Area in '000 Ha 
Production in'000  MT </oddHeader>
  </headerFooter>
  <colBreaks count="2" manualBreakCount="2">
    <brk id="15" max="1048575" man="1"/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showGridLines="0" workbookViewId="0">
      <pane xSplit="1" ySplit="3" topLeftCell="Y22" activePane="bottomRight" state="frozen"/>
      <selection pane="topRight" activeCell="B1" sqref="B1"/>
      <selection pane="bottomLeft" activeCell="A4" sqref="A4"/>
      <selection pane="bottomRight" activeCell="AM50" sqref="AM50"/>
    </sheetView>
  </sheetViews>
  <sheetFormatPr defaultRowHeight="15" x14ac:dyDescent="0.25"/>
  <cols>
    <col min="1" max="1" width="24.28515625" style="29" customWidth="1"/>
    <col min="2" max="34" width="9" style="29" customWidth="1"/>
    <col min="35" max="37" width="10.7109375" style="29" customWidth="1"/>
    <col min="38" max="38" width="12.7109375" style="29" customWidth="1"/>
    <col min="39" max="39" width="12.42578125" style="29" customWidth="1"/>
    <col min="40" max="40" width="13" style="29" customWidth="1"/>
    <col min="41" max="16384" width="9.140625" style="29"/>
  </cols>
  <sheetData>
    <row r="1" spans="1:40" ht="15.75" customHeight="1" x14ac:dyDescent="0.25">
      <c r="A1" s="28" t="s">
        <v>229</v>
      </c>
      <c r="B1" s="177" t="s">
        <v>230</v>
      </c>
      <c r="C1" s="179"/>
      <c r="D1" s="178"/>
      <c r="E1" s="177" t="s">
        <v>231</v>
      </c>
      <c r="F1" s="179"/>
      <c r="G1" s="178"/>
      <c r="H1" s="177" t="s">
        <v>232</v>
      </c>
      <c r="I1" s="179"/>
      <c r="J1" s="178"/>
      <c r="K1" s="177" t="s">
        <v>233</v>
      </c>
      <c r="L1" s="179"/>
      <c r="M1" s="178"/>
      <c r="N1" s="177" t="s">
        <v>234</v>
      </c>
      <c r="O1" s="179"/>
      <c r="P1" s="178"/>
      <c r="Q1" s="177" t="s">
        <v>235</v>
      </c>
      <c r="R1" s="179"/>
      <c r="S1" s="178"/>
      <c r="T1" s="177" t="s">
        <v>236</v>
      </c>
      <c r="U1" s="179"/>
      <c r="V1" s="178"/>
      <c r="W1" s="177" t="s">
        <v>237</v>
      </c>
      <c r="X1" s="179"/>
      <c r="Y1" s="178"/>
      <c r="Z1" s="177" t="s">
        <v>238</v>
      </c>
      <c r="AA1" s="179"/>
      <c r="AB1" s="178"/>
      <c r="AC1" s="177" t="s">
        <v>239</v>
      </c>
      <c r="AD1" s="179"/>
      <c r="AE1" s="178"/>
      <c r="AF1" s="177" t="s">
        <v>240</v>
      </c>
      <c r="AG1" s="179"/>
      <c r="AH1" s="181"/>
      <c r="AI1" s="182" t="s">
        <v>241</v>
      </c>
      <c r="AJ1" s="183"/>
      <c r="AK1" s="184"/>
      <c r="AL1" s="180" t="s">
        <v>52</v>
      </c>
      <c r="AM1" s="180"/>
      <c r="AN1" s="180"/>
    </row>
    <row r="2" spans="1:40" ht="18" customHeight="1" x14ac:dyDescent="0.25">
      <c r="A2" s="30"/>
      <c r="B2" s="31" t="s">
        <v>228</v>
      </c>
      <c r="C2" s="177" t="s">
        <v>190</v>
      </c>
      <c r="D2" s="178"/>
      <c r="E2" s="31" t="s">
        <v>228</v>
      </c>
      <c r="F2" s="177" t="s">
        <v>190</v>
      </c>
      <c r="G2" s="178"/>
      <c r="H2" s="31" t="s">
        <v>228</v>
      </c>
      <c r="I2" s="177" t="s">
        <v>190</v>
      </c>
      <c r="J2" s="178"/>
      <c r="K2" s="31" t="s">
        <v>228</v>
      </c>
      <c r="L2" s="185" t="s">
        <v>190</v>
      </c>
      <c r="M2" s="186"/>
      <c r="N2" s="31" t="s">
        <v>228</v>
      </c>
      <c r="O2" s="177" t="s">
        <v>190</v>
      </c>
      <c r="P2" s="178"/>
      <c r="Q2" s="31" t="s">
        <v>228</v>
      </c>
      <c r="R2" s="177" t="s">
        <v>190</v>
      </c>
      <c r="S2" s="178"/>
      <c r="T2" s="31" t="s">
        <v>228</v>
      </c>
      <c r="U2" s="177" t="s">
        <v>190</v>
      </c>
      <c r="V2" s="178"/>
      <c r="W2" s="31" t="s">
        <v>228</v>
      </c>
      <c r="X2" s="177" t="s">
        <v>190</v>
      </c>
      <c r="Y2" s="178"/>
      <c r="Z2" s="31" t="s">
        <v>228</v>
      </c>
      <c r="AA2" s="177" t="s">
        <v>190</v>
      </c>
      <c r="AB2" s="178"/>
      <c r="AC2" s="31" t="s">
        <v>228</v>
      </c>
      <c r="AD2" s="177" t="s">
        <v>190</v>
      </c>
      <c r="AE2" s="178"/>
      <c r="AF2" s="31" t="s">
        <v>228</v>
      </c>
      <c r="AG2" s="177" t="s">
        <v>190</v>
      </c>
      <c r="AH2" s="179"/>
      <c r="AI2" s="59" t="s">
        <v>228</v>
      </c>
      <c r="AJ2" s="180" t="s">
        <v>190</v>
      </c>
      <c r="AK2" s="180"/>
      <c r="AL2" s="59" t="s">
        <v>228</v>
      </c>
      <c r="AM2" s="180" t="s">
        <v>190</v>
      </c>
      <c r="AN2" s="180"/>
    </row>
    <row r="3" spans="1:40" x14ac:dyDescent="0.25">
      <c r="A3" s="32"/>
      <c r="B3" s="31"/>
      <c r="C3" s="31" t="s">
        <v>242</v>
      </c>
      <c r="D3" s="31" t="s">
        <v>243</v>
      </c>
      <c r="E3" s="31"/>
      <c r="F3" s="31" t="s">
        <v>242</v>
      </c>
      <c r="G3" s="31" t="s">
        <v>243</v>
      </c>
      <c r="H3" s="31"/>
      <c r="I3" s="31" t="s">
        <v>242</v>
      </c>
      <c r="J3" s="31" t="s">
        <v>243</v>
      </c>
      <c r="K3" s="31"/>
      <c r="L3" s="31" t="s">
        <v>242</v>
      </c>
      <c r="M3" s="33"/>
      <c r="N3" s="58"/>
      <c r="O3" s="31" t="s">
        <v>242</v>
      </c>
      <c r="P3" s="31" t="s">
        <v>243</v>
      </c>
      <c r="Q3" s="31"/>
      <c r="R3" s="31" t="s">
        <v>242</v>
      </c>
      <c r="S3" s="31" t="s">
        <v>243</v>
      </c>
      <c r="T3" s="31"/>
      <c r="U3" s="31" t="s">
        <v>242</v>
      </c>
      <c r="V3" s="31" t="s">
        <v>243</v>
      </c>
      <c r="W3" s="31"/>
      <c r="X3" s="31" t="s">
        <v>242</v>
      </c>
      <c r="Y3" s="31" t="s">
        <v>243</v>
      </c>
      <c r="Z3" s="31"/>
      <c r="AA3" s="31" t="s">
        <v>242</v>
      </c>
      <c r="AB3" s="31" t="s">
        <v>243</v>
      </c>
      <c r="AC3" s="31"/>
      <c r="AD3" s="31" t="s">
        <v>242</v>
      </c>
      <c r="AE3" s="31" t="s">
        <v>243</v>
      </c>
      <c r="AF3" s="31"/>
      <c r="AG3" s="31" t="s">
        <v>242</v>
      </c>
      <c r="AH3" s="31" t="s">
        <v>243</v>
      </c>
      <c r="AI3" s="59"/>
      <c r="AJ3" s="31" t="s">
        <v>242</v>
      </c>
      <c r="AK3" s="31" t="s">
        <v>243</v>
      </c>
      <c r="AL3" s="59"/>
      <c r="AM3" s="59" t="s">
        <v>242</v>
      </c>
      <c r="AN3" s="59" t="s">
        <v>243</v>
      </c>
    </row>
    <row r="4" spans="1:40" x14ac:dyDescent="0.25">
      <c r="A4" s="34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7"/>
      <c r="N4" s="38"/>
      <c r="O4" s="39"/>
      <c r="P4" s="35"/>
      <c r="Q4" s="35">
        <v>1.0999999999999999E-2</v>
      </c>
      <c r="R4" s="35">
        <v>1.4E-2</v>
      </c>
      <c r="S4" s="35"/>
      <c r="T4" s="35">
        <v>3.5999999999999997E-2</v>
      </c>
      <c r="U4" s="35">
        <v>5.2999999999999999E-2</v>
      </c>
      <c r="V4" s="35"/>
      <c r="W4" s="35"/>
      <c r="X4" s="35"/>
      <c r="Y4" s="35"/>
      <c r="Z4" s="35">
        <v>1.2E-2</v>
      </c>
      <c r="AA4" s="35">
        <v>0.01</v>
      </c>
      <c r="AB4" s="35"/>
      <c r="AC4" s="35"/>
      <c r="AD4" s="35"/>
      <c r="AE4" s="35"/>
      <c r="AF4" s="35"/>
      <c r="AG4" s="35"/>
      <c r="AH4" s="36"/>
      <c r="AI4" s="40">
        <v>0.125</v>
      </c>
      <c r="AJ4" s="40">
        <v>0.112</v>
      </c>
      <c r="AK4" s="40"/>
      <c r="AL4" s="66">
        <f>B4+E4+H4+K4+N4+Q4+T4+W4+Z4+AC4+AF4+AI4</f>
        <v>0.184</v>
      </c>
      <c r="AM4" s="66">
        <f>C4+F4+I4+L4+O4+R4+U4+X4+AA4+AD4+AG4+AJ4</f>
        <v>0.189</v>
      </c>
      <c r="AN4" s="41">
        <f>D4+G4+J4+M4+P4+S4+V4+Y4+AB4+AE4+AH4+AK4</f>
        <v>0</v>
      </c>
    </row>
    <row r="5" spans="1:40" x14ac:dyDescent="0.25">
      <c r="A5" s="34" t="s">
        <v>12</v>
      </c>
      <c r="B5" s="35"/>
      <c r="C5" s="35"/>
      <c r="D5" s="35"/>
      <c r="E5" s="35"/>
      <c r="F5" s="35"/>
      <c r="G5" s="35"/>
      <c r="H5" s="35">
        <v>2.5579999999999998</v>
      </c>
      <c r="I5" s="35">
        <v>20.613</v>
      </c>
      <c r="J5" s="35"/>
      <c r="K5" s="35"/>
      <c r="L5" s="36"/>
      <c r="M5" s="37"/>
      <c r="N5" s="38"/>
      <c r="O5" s="39"/>
      <c r="P5" s="35"/>
      <c r="Q5" s="35">
        <v>2.6320000000000001</v>
      </c>
      <c r="R5" s="35">
        <v>13.994999999999999</v>
      </c>
      <c r="S5" s="35"/>
      <c r="T5" s="35">
        <v>5.55</v>
      </c>
      <c r="U5" s="35">
        <v>43.095999999999997</v>
      </c>
      <c r="V5" s="35"/>
      <c r="W5" s="35"/>
      <c r="X5" s="35"/>
      <c r="Y5" s="35"/>
      <c r="Z5" s="35">
        <v>0.53500000000000003</v>
      </c>
      <c r="AA5" s="35"/>
      <c r="AB5" s="35">
        <f>3680/130</f>
        <v>28.307692307692307</v>
      </c>
      <c r="AC5" s="35">
        <v>1.206</v>
      </c>
      <c r="AD5" s="35">
        <v>14.065</v>
      </c>
      <c r="AE5" s="35"/>
      <c r="AF5" s="35"/>
      <c r="AG5" s="35"/>
      <c r="AH5" s="35"/>
      <c r="AI5" s="42">
        <f>1.753+1.446</f>
        <v>3.1989999999999998</v>
      </c>
      <c r="AJ5" s="42">
        <f>6.875+7.485</f>
        <v>14.36</v>
      </c>
      <c r="AK5" s="43"/>
      <c r="AL5" s="41">
        <f t="shared" ref="AL5:AL38" si="0">B5+E5+H5+K5+N5+Q5+T5+W5+Z5+AC5+AF5+AI5</f>
        <v>15.679999999999998</v>
      </c>
      <c r="AM5" s="41">
        <f t="shared" ref="AM5:AM38" si="1">C5+F5+I5+L5+O5+R5+U5+X5+AA5+AD5+AG5+AJ5</f>
        <v>106.12899999999999</v>
      </c>
      <c r="AN5" s="41">
        <f t="shared" ref="AN5:AN38" si="2">D5+G5+J5+M5+P5+S5+V5+Y5+AB5+AE5+AH5+AK5</f>
        <v>28.307692307692307</v>
      </c>
    </row>
    <row r="6" spans="1:40" ht="15.75" x14ac:dyDescent="0.25">
      <c r="A6" s="49" t="s">
        <v>194</v>
      </c>
      <c r="B6" s="7">
        <v>4.5999999999999999E-3</v>
      </c>
      <c r="C6" s="7"/>
      <c r="D6" s="7">
        <v>0.64444444444444449</v>
      </c>
      <c r="E6" s="7"/>
      <c r="F6" s="7"/>
      <c r="G6" s="7"/>
      <c r="H6" s="7"/>
      <c r="I6" s="7"/>
      <c r="J6" s="7"/>
      <c r="K6" s="7">
        <v>4.0000000000000001E-3</v>
      </c>
      <c r="L6" s="7"/>
      <c r="M6" s="7">
        <v>0.50285714285714289</v>
      </c>
      <c r="N6" s="7"/>
      <c r="O6" s="7"/>
      <c r="P6" s="7"/>
      <c r="Q6" s="7"/>
      <c r="R6" s="7"/>
      <c r="S6" s="7"/>
      <c r="T6" s="7">
        <v>0.01</v>
      </c>
      <c r="U6" s="7">
        <v>9.7999999999999997E-3</v>
      </c>
      <c r="V6" s="7"/>
      <c r="W6" s="7"/>
      <c r="X6" s="7"/>
      <c r="Y6" s="7"/>
      <c r="Z6" s="7">
        <v>4.4999999999999997E-3</v>
      </c>
      <c r="AA6" s="7"/>
      <c r="AB6" s="7">
        <v>0.7153846153846154</v>
      </c>
      <c r="AC6" s="7"/>
      <c r="AD6" s="7"/>
      <c r="AE6" s="7"/>
      <c r="AF6" s="7"/>
      <c r="AG6" s="7"/>
      <c r="AH6" s="7"/>
      <c r="AI6" s="7"/>
      <c r="AJ6" s="7"/>
      <c r="AK6" s="7"/>
      <c r="AL6" s="41">
        <f t="shared" si="0"/>
        <v>2.3099999999999999E-2</v>
      </c>
      <c r="AM6" s="41">
        <f t="shared" si="1"/>
        <v>9.7999999999999997E-3</v>
      </c>
      <c r="AN6" s="41">
        <f t="shared" si="2"/>
        <v>1.862686202686203</v>
      </c>
    </row>
    <row r="7" spans="1:40" x14ac:dyDescent="0.25">
      <c r="A7" s="34" t="s">
        <v>14</v>
      </c>
      <c r="B7" s="35">
        <v>6.3E-2</v>
      </c>
      <c r="C7" s="35">
        <v>0.41599999999999998</v>
      </c>
      <c r="D7" s="35">
        <v>0.62222222222222223</v>
      </c>
      <c r="E7" s="35">
        <v>9.2999999999999999E-2</v>
      </c>
      <c r="F7" s="35">
        <v>0.61399999999999999</v>
      </c>
      <c r="G7" s="35">
        <v>0.72857142857142854</v>
      </c>
      <c r="H7" s="35">
        <v>0.123</v>
      </c>
      <c r="I7" s="35">
        <v>0.81200000000000006</v>
      </c>
      <c r="J7" s="35">
        <v>1.1611111111111112</v>
      </c>
      <c r="K7" s="35">
        <v>0.60599999999999998</v>
      </c>
      <c r="L7" s="36">
        <v>4</v>
      </c>
      <c r="M7" s="37">
        <v>5.8571428571428568</v>
      </c>
      <c r="N7" s="38">
        <v>0.21</v>
      </c>
      <c r="O7" s="39">
        <v>1.3859999999999999</v>
      </c>
      <c r="P7" s="35">
        <v>4.5250000000000004</v>
      </c>
      <c r="Q7" s="35">
        <v>0.183</v>
      </c>
      <c r="R7" s="35">
        <v>1.208</v>
      </c>
      <c r="S7" s="35">
        <v>1.7277777777777779</v>
      </c>
      <c r="T7" s="35">
        <v>0.45300000000000001</v>
      </c>
      <c r="U7" s="35">
        <v>2.99</v>
      </c>
      <c r="V7" s="35">
        <v>4.2777777777777777</v>
      </c>
      <c r="W7" s="35">
        <v>0.36299999999999999</v>
      </c>
      <c r="X7" s="35">
        <v>2.496</v>
      </c>
      <c r="Y7" s="35">
        <v>4.7461538461538462</v>
      </c>
      <c r="Z7" s="35">
        <v>0.30599999999999999</v>
      </c>
      <c r="AA7" s="35">
        <v>2.02</v>
      </c>
      <c r="AB7" s="35">
        <v>3.9615384615384617</v>
      </c>
      <c r="AC7" s="35">
        <v>0.5</v>
      </c>
      <c r="AD7" s="35">
        <v>2.6</v>
      </c>
      <c r="AE7" s="35">
        <v>6.8999999999999999E-3</v>
      </c>
      <c r="AF7" s="35"/>
      <c r="AG7" s="35"/>
      <c r="AH7" s="35"/>
      <c r="AI7" s="35">
        <v>0.63</v>
      </c>
      <c r="AJ7" s="35">
        <v>4.258</v>
      </c>
      <c r="AK7" s="40">
        <v>5.4222222222222225</v>
      </c>
      <c r="AL7" s="41">
        <f t="shared" si="0"/>
        <v>3.5300000000000002</v>
      </c>
      <c r="AM7" s="41">
        <f t="shared" si="1"/>
        <v>22.8</v>
      </c>
      <c r="AN7" s="41">
        <f t="shared" si="2"/>
        <v>33.03641770451771</v>
      </c>
    </row>
    <row r="8" spans="1:40" ht="15.75" x14ac:dyDescent="0.25">
      <c r="A8" s="1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8.5000000000000006E-2</v>
      </c>
      <c r="O8" s="7"/>
      <c r="P8" s="7">
        <v>2.0665</v>
      </c>
      <c r="Q8" s="7">
        <v>0.113</v>
      </c>
      <c r="R8" s="7">
        <v>0.317</v>
      </c>
      <c r="S8" s="7"/>
      <c r="T8" s="7">
        <v>0.86499999999999999</v>
      </c>
      <c r="U8" s="7">
        <v>11.576000000000001</v>
      </c>
      <c r="V8" s="7"/>
      <c r="W8" s="7"/>
      <c r="X8" s="7"/>
      <c r="Y8" s="7"/>
      <c r="Z8" s="7">
        <v>0.1</v>
      </c>
      <c r="AA8" s="7">
        <v>0.112</v>
      </c>
      <c r="AB8" s="7">
        <v>0.6970384615384615</v>
      </c>
      <c r="AC8" s="7">
        <v>0.13200000000000001</v>
      </c>
      <c r="AD8" s="7">
        <v>0.59599999999999997</v>
      </c>
      <c r="AE8" s="7"/>
      <c r="AF8" s="7"/>
      <c r="AG8" s="7"/>
      <c r="AH8" s="7"/>
      <c r="AI8" s="7">
        <v>0.13200000000000001</v>
      </c>
      <c r="AJ8" s="7">
        <v>1.08</v>
      </c>
      <c r="AK8" s="7"/>
      <c r="AL8" s="66">
        <f t="shared" si="0"/>
        <v>1.427</v>
      </c>
      <c r="AM8" s="66">
        <f t="shared" si="1"/>
        <v>13.681000000000001</v>
      </c>
      <c r="AN8" s="66">
        <f t="shared" si="2"/>
        <v>2.7635384615384613</v>
      </c>
    </row>
    <row r="9" spans="1:40" x14ac:dyDescent="0.25">
      <c r="A9" s="34" t="s">
        <v>186</v>
      </c>
      <c r="B9" s="35"/>
      <c r="C9" s="35"/>
      <c r="D9" s="35"/>
      <c r="E9" s="35"/>
      <c r="F9" s="35"/>
      <c r="G9" s="35"/>
      <c r="H9" s="35">
        <v>0.28399999999999997</v>
      </c>
      <c r="I9" s="35">
        <v>1.038</v>
      </c>
      <c r="J9" s="35"/>
      <c r="K9" s="35"/>
      <c r="L9" s="36"/>
      <c r="M9" s="37"/>
      <c r="N9" s="38">
        <v>1.7909999999999999</v>
      </c>
      <c r="O9" s="39">
        <v>5.9939999999999998</v>
      </c>
      <c r="P9" s="35"/>
      <c r="Q9" s="35">
        <v>4.3999999999999997E-2</v>
      </c>
      <c r="R9" s="35">
        <v>8.7999999999999995E-2</v>
      </c>
      <c r="S9" s="35"/>
      <c r="T9" s="35">
        <v>4.0069999999999997</v>
      </c>
      <c r="U9" s="35">
        <v>29.27</v>
      </c>
      <c r="V9" s="35"/>
      <c r="W9" s="35"/>
      <c r="X9" s="35"/>
      <c r="Y9" s="35"/>
      <c r="Z9" s="35">
        <v>1.05</v>
      </c>
      <c r="AA9" s="35">
        <v>2.9039999999999999</v>
      </c>
      <c r="AB9" s="35"/>
      <c r="AC9" s="35">
        <v>1.498</v>
      </c>
      <c r="AD9" s="35">
        <v>5.9009999999999998</v>
      </c>
      <c r="AE9" s="35"/>
      <c r="AF9" s="35"/>
      <c r="AG9" s="35"/>
      <c r="AH9" s="35"/>
      <c r="AI9" s="35">
        <v>2.2869999999999999</v>
      </c>
      <c r="AJ9" s="35">
        <v>4.8339999999999996</v>
      </c>
      <c r="AK9" s="40"/>
      <c r="AL9" s="66">
        <f t="shared" si="0"/>
        <v>10.960999999999999</v>
      </c>
      <c r="AM9" s="66">
        <f t="shared" si="1"/>
        <v>50.028999999999996</v>
      </c>
      <c r="AN9" s="66">
        <f t="shared" si="2"/>
        <v>0</v>
      </c>
    </row>
    <row r="10" spans="1:40" x14ac:dyDescent="0.25">
      <c r="A10" s="34" t="s">
        <v>16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7"/>
      <c r="N10" s="38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40"/>
      <c r="AL10" s="41">
        <f t="shared" si="0"/>
        <v>0</v>
      </c>
      <c r="AM10" s="41">
        <f t="shared" si="1"/>
        <v>0</v>
      </c>
      <c r="AN10" s="41">
        <f t="shared" si="2"/>
        <v>0</v>
      </c>
    </row>
    <row r="11" spans="1:40" x14ac:dyDescent="0.25">
      <c r="A11" s="34" t="s">
        <v>17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37"/>
      <c r="N11" s="38"/>
      <c r="O11" s="39"/>
      <c r="P11" s="35"/>
      <c r="Q11" s="35"/>
      <c r="R11" s="35"/>
      <c r="S11" s="35"/>
      <c r="T11" s="35">
        <v>3.0000000000000001E-3</v>
      </c>
      <c r="U11" s="35">
        <v>1.6E-2</v>
      </c>
      <c r="V11" s="35"/>
      <c r="W11" s="35"/>
      <c r="X11" s="35"/>
      <c r="Y11" s="35"/>
      <c r="Z11" s="35">
        <v>2E-3</v>
      </c>
      <c r="AA11" s="35">
        <v>1.4E-2</v>
      </c>
      <c r="AB11" s="35"/>
      <c r="AC11" s="35"/>
      <c r="AD11" s="35"/>
      <c r="AE11" s="35"/>
      <c r="AF11" s="35"/>
      <c r="AG11" s="35"/>
      <c r="AH11" s="35"/>
      <c r="AI11" s="35"/>
      <c r="AJ11" s="35"/>
      <c r="AK11" s="40"/>
      <c r="AL11" s="66">
        <f t="shared" si="0"/>
        <v>5.0000000000000001E-3</v>
      </c>
      <c r="AM11" s="66">
        <f t="shared" si="1"/>
        <v>0.03</v>
      </c>
      <c r="AN11" s="41">
        <f t="shared" si="2"/>
        <v>0</v>
      </c>
    </row>
    <row r="12" spans="1:40" x14ac:dyDescent="0.25">
      <c r="A12" s="34" t="s">
        <v>18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8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40"/>
      <c r="AL12" s="41">
        <f t="shared" si="0"/>
        <v>0</v>
      </c>
      <c r="AM12" s="41">
        <f t="shared" si="1"/>
        <v>0</v>
      </c>
      <c r="AN12" s="41">
        <f t="shared" si="2"/>
        <v>0</v>
      </c>
    </row>
    <row r="13" spans="1:40" x14ac:dyDescent="0.25">
      <c r="A13" s="34" t="s">
        <v>19</v>
      </c>
      <c r="B13" s="35">
        <v>3.0000000000000001E-3</v>
      </c>
      <c r="C13" s="35"/>
      <c r="D13" s="35">
        <v>5.5555555555555558E-3</v>
      </c>
      <c r="E13" s="35"/>
      <c r="F13" s="35"/>
      <c r="G13" s="35"/>
      <c r="H13" s="35"/>
      <c r="I13" s="35"/>
      <c r="J13" s="35"/>
      <c r="K13" s="35">
        <v>1E-3</v>
      </c>
      <c r="L13" s="36"/>
      <c r="M13" s="37">
        <v>0.11428571428571428</v>
      </c>
      <c r="N13" s="38"/>
      <c r="O13" s="39"/>
      <c r="P13" s="35"/>
      <c r="Q13" s="35"/>
      <c r="R13" s="35">
        <v>6.0000000000000001E-3</v>
      </c>
      <c r="S13" s="35"/>
      <c r="T13" s="35">
        <v>4.0000000000000001E-3</v>
      </c>
      <c r="U13" s="35">
        <v>2.1999999999999999E-2</v>
      </c>
      <c r="V13" s="35"/>
      <c r="W13" s="35">
        <v>1E-3</v>
      </c>
      <c r="X13" s="35"/>
      <c r="Y13" s="35"/>
      <c r="Z13" s="35"/>
      <c r="AA13" s="35"/>
      <c r="AB13" s="35"/>
      <c r="AC13" s="35"/>
      <c r="AD13" s="35">
        <v>2E-3</v>
      </c>
      <c r="AE13" s="35"/>
      <c r="AF13" s="35"/>
      <c r="AG13" s="35"/>
      <c r="AH13" s="35"/>
      <c r="AI13" s="35">
        <v>3.0000000000000001E-3</v>
      </c>
      <c r="AJ13" s="35">
        <v>3.0000000000000001E-3</v>
      </c>
      <c r="AK13" s="40"/>
      <c r="AL13" s="66">
        <f t="shared" si="0"/>
        <v>1.2E-2</v>
      </c>
      <c r="AM13" s="66">
        <f t="shared" si="1"/>
        <v>3.3000000000000002E-2</v>
      </c>
      <c r="AN13" s="66">
        <f t="shared" si="2"/>
        <v>0.11984126984126983</v>
      </c>
    </row>
    <row r="14" spans="1:40" x14ac:dyDescent="0.25">
      <c r="A14" s="34" t="s">
        <v>20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8"/>
      <c r="O14" s="39"/>
      <c r="P14" s="35"/>
      <c r="Q14" s="35"/>
      <c r="R14" s="35"/>
      <c r="S14" s="35"/>
      <c r="T14" s="35">
        <v>8.1539999999999999</v>
      </c>
      <c r="U14" s="35">
        <v>78.241</v>
      </c>
      <c r="V14" s="35"/>
      <c r="W14" s="35"/>
      <c r="X14" s="35"/>
      <c r="Y14" s="35"/>
      <c r="Z14" s="35">
        <v>4.0369999999999999</v>
      </c>
      <c r="AA14" s="35">
        <v>36.744999999999997</v>
      </c>
      <c r="AB14" s="35"/>
      <c r="AC14" s="35"/>
      <c r="AD14" s="35"/>
      <c r="AE14" s="35"/>
      <c r="AF14" s="35"/>
      <c r="AG14" s="35"/>
      <c r="AH14" s="35"/>
      <c r="AI14" s="35">
        <f>2.992+3.605</f>
        <v>6.5969999999999995</v>
      </c>
      <c r="AJ14" s="35">
        <f>26.847+35.799</f>
        <v>62.646000000000001</v>
      </c>
      <c r="AK14" s="40"/>
      <c r="AL14" s="66">
        <f t="shared" si="0"/>
        <v>18.787999999999997</v>
      </c>
      <c r="AM14" s="41">
        <f t="shared" si="1"/>
        <v>177.63200000000001</v>
      </c>
      <c r="AN14" s="41">
        <f t="shared" si="2"/>
        <v>0</v>
      </c>
    </row>
    <row r="15" spans="1:40" x14ac:dyDescent="0.25">
      <c r="A15" s="34" t="s">
        <v>21</v>
      </c>
      <c r="B15" s="35"/>
      <c r="C15" s="35"/>
      <c r="D15" s="35"/>
      <c r="E15" s="35"/>
      <c r="F15" s="35"/>
      <c r="G15" s="35"/>
      <c r="H15" s="35">
        <v>0.03</v>
      </c>
      <c r="I15" s="35">
        <v>0.04</v>
      </c>
      <c r="J15" s="35">
        <v>0.13333333333333333</v>
      </c>
      <c r="K15" s="35">
        <v>0.02</v>
      </c>
      <c r="L15" s="36"/>
      <c r="M15" s="37">
        <v>0.13714285714285715</v>
      </c>
      <c r="N15" s="38">
        <v>0.21</v>
      </c>
      <c r="O15" s="39"/>
      <c r="P15" s="35">
        <v>2.4</v>
      </c>
      <c r="Q15" s="35"/>
      <c r="R15" s="35"/>
      <c r="S15" s="35"/>
      <c r="T15" s="35">
        <v>5.38</v>
      </c>
      <c r="U15" s="35">
        <v>62.34</v>
      </c>
      <c r="V15" s="35"/>
      <c r="W15" s="35"/>
      <c r="X15" s="35"/>
      <c r="Y15" s="35"/>
      <c r="Z15" s="35">
        <v>0.24</v>
      </c>
      <c r="AA15" s="35">
        <v>0.46</v>
      </c>
      <c r="AB15" s="35">
        <v>1.676923076923077</v>
      </c>
      <c r="AC15" s="35">
        <v>0.09</v>
      </c>
      <c r="AD15" s="35"/>
      <c r="AE15" s="35"/>
      <c r="AF15" s="35"/>
      <c r="AG15" s="35"/>
      <c r="AH15" s="35"/>
      <c r="AI15" s="35">
        <v>0.1</v>
      </c>
      <c r="AJ15" s="35">
        <v>0.01</v>
      </c>
      <c r="AK15" s="40">
        <v>0.57222222222222219</v>
      </c>
      <c r="AL15" s="41">
        <f t="shared" si="0"/>
        <v>6.0699999999999994</v>
      </c>
      <c r="AM15" s="41">
        <f t="shared" si="1"/>
        <v>62.85</v>
      </c>
      <c r="AN15" s="41">
        <f t="shared" si="2"/>
        <v>4.9196214896214894</v>
      </c>
    </row>
    <row r="16" spans="1:40" x14ac:dyDescent="0.25">
      <c r="A16" s="34" t="s">
        <v>22</v>
      </c>
      <c r="B16" s="35"/>
      <c r="C16" s="35"/>
      <c r="D16" s="35"/>
      <c r="E16" s="35">
        <v>5.1999999999999998E-2</v>
      </c>
      <c r="F16" s="35"/>
      <c r="G16" s="35">
        <v>2.3904761904761904</v>
      </c>
      <c r="H16" s="35">
        <v>0.29499999999999998</v>
      </c>
      <c r="I16" s="35">
        <v>7.6</v>
      </c>
      <c r="J16" s="35">
        <v>4.6500000000000004</v>
      </c>
      <c r="K16" s="35">
        <v>6.0000000000000001E-3</v>
      </c>
      <c r="L16" s="36"/>
      <c r="M16" s="37">
        <v>0.43428571428571427</v>
      </c>
      <c r="N16" s="38">
        <v>8.3000000000000004E-2</v>
      </c>
      <c r="O16" s="39"/>
      <c r="P16" s="35">
        <v>1.9624999999999999</v>
      </c>
      <c r="Q16" s="35"/>
      <c r="R16" s="35"/>
      <c r="S16" s="35"/>
      <c r="T16" s="35">
        <v>0.223</v>
      </c>
      <c r="U16" s="35">
        <v>19.605</v>
      </c>
      <c r="V16" s="35"/>
      <c r="W16" s="35"/>
      <c r="X16" s="35"/>
      <c r="Y16" s="35"/>
      <c r="Z16" s="35">
        <v>3.5999999999999997E-2</v>
      </c>
      <c r="AA16" s="35"/>
      <c r="AB16" s="35"/>
      <c r="AC16" s="35"/>
      <c r="AD16" s="35"/>
      <c r="AE16" s="35"/>
      <c r="AF16" s="35"/>
      <c r="AG16" s="35"/>
      <c r="AH16" s="35"/>
      <c r="AI16" s="35">
        <v>0.107</v>
      </c>
      <c r="AJ16" s="35"/>
      <c r="AK16" s="40">
        <v>2.1166666666666667</v>
      </c>
      <c r="AL16" s="41">
        <f t="shared" si="0"/>
        <v>0.80200000000000005</v>
      </c>
      <c r="AM16" s="41">
        <f t="shared" si="1"/>
        <v>27.204999999999998</v>
      </c>
      <c r="AN16" s="41">
        <f t="shared" si="2"/>
        <v>11.553928571428573</v>
      </c>
    </row>
    <row r="17" spans="1:40" x14ac:dyDescent="0.25">
      <c r="A17" s="34" t="s">
        <v>23</v>
      </c>
      <c r="B17" s="35"/>
      <c r="C17" s="35"/>
      <c r="D17" s="35"/>
      <c r="E17" s="35">
        <v>4.0000000000000001E-3</v>
      </c>
      <c r="F17" s="35"/>
      <c r="G17" s="35"/>
      <c r="H17" s="35">
        <v>4.0000000000000001E-3</v>
      </c>
      <c r="I17" s="35">
        <v>1E-3</v>
      </c>
      <c r="J17" s="35"/>
      <c r="K17" s="35">
        <v>3.0000000000000001E-3</v>
      </c>
      <c r="L17" s="36"/>
      <c r="M17" s="37"/>
      <c r="N17" s="38">
        <v>3.4000000000000002E-2</v>
      </c>
      <c r="O17" s="39"/>
      <c r="P17" s="35"/>
      <c r="Q17" s="35"/>
      <c r="R17" s="35"/>
      <c r="S17" s="35"/>
      <c r="T17" s="35">
        <v>0.33100000000000002</v>
      </c>
      <c r="U17" s="35">
        <v>0.26300000000000001</v>
      </c>
      <c r="V17" s="35"/>
      <c r="W17" s="35"/>
      <c r="X17" s="35"/>
      <c r="Y17" s="35"/>
      <c r="Z17" s="35">
        <v>1.9E-2</v>
      </c>
      <c r="AA17" s="35">
        <v>1.4999999999999999E-2</v>
      </c>
      <c r="AB17" s="35"/>
      <c r="AC17" s="35">
        <v>1E-3</v>
      </c>
      <c r="AD17" s="35"/>
      <c r="AE17" s="35"/>
      <c r="AF17" s="35">
        <v>1.7999999999999999E-2</v>
      </c>
      <c r="AG17" s="35"/>
      <c r="AH17" s="35"/>
      <c r="AI17" s="35">
        <v>4.4999999999999998E-2</v>
      </c>
      <c r="AJ17" s="35">
        <v>6.7000000000000004E-2</v>
      </c>
      <c r="AK17" s="40"/>
      <c r="AL17" s="41">
        <f t="shared" si="0"/>
        <v>0.45900000000000002</v>
      </c>
      <c r="AM17" s="41">
        <f t="shared" si="1"/>
        <v>0.34600000000000003</v>
      </c>
      <c r="AN17" s="41">
        <f t="shared" si="2"/>
        <v>0</v>
      </c>
    </row>
    <row r="18" spans="1:40" x14ac:dyDescent="0.25">
      <c r="A18" s="34" t="s">
        <v>24</v>
      </c>
      <c r="B18" s="35"/>
      <c r="C18" s="35"/>
      <c r="D18" s="35">
        <v>0</v>
      </c>
      <c r="E18" s="35"/>
      <c r="F18" s="35"/>
      <c r="G18" s="35"/>
      <c r="H18" s="35"/>
      <c r="I18" s="35"/>
      <c r="J18" s="35"/>
      <c r="K18" s="35"/>
      <c r="L18" s="36"/>
      <c r="M18" s="37">
        <v>0</v>
      </c>
      <c r="N18" s="38"/>
      <c r="O18" s="39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>
        <v>1.6</v>
      </c>
      <c r="AJ18" s="35">
        <v>22.026</v>
      </c>
      <c r="AK18" s="40">
        <v>52.81111111111111</v>
      </c>
      <c r="AL18" s="41">
        <f t="shared" si="0"/>
        <v>1.6</v>
      </c>
      <c r="AM18" s="41">
        <f t="shared" si="1"/>
        <v>22.026</v>
      </c>
      <c r="AN18" s="41">
        <f t="shared" si="2"/>
        <v>52.81111111111111</v>
      </c>
    </row>
    <row r="19" spans="1:40" x14ac:dyDescent="0.25">
      <c r="A19" s="34" t="s">
        <v>25</v>
      </c>
      <c r="B19" s="35"/>
      <c r="C19" s="35"/>
      <c r="D19" s="35">
        <v>5.5555555555555552E-2</v>
      </c>
      <c r="E19" s="35"/>
      <c r="F19" s="35"/>
      <c r="G19" s="35">
        <v>0.38095238095238093</v>
      </c>
      <c r="H19" s="35">
        <v>5.0999999999999996</v>
      </c>
      <c r="I19" s="35">
        <v>61.2</v>
      </c>
      <c r="J19" s="35"/>
      <c r="K19" s="35"/>
      <c r="L19" s="36"/>
      <c r="M19" s="37">
        <v>2.0228571428571427</v>
      </c>
      <c r="N19" s="38">
        <v>0.2</v>
      </c>
      <c r="O19" s="39"/>
      <c r="P19" s="35">
        <v>5.3624999999999998</v>
      </c>
      <c r="Q19" s="35">
        <v>6.3</v>
      </c>
      <c r="R19" s="35">
        <v>38.6</v>
      </c>
      <c r="S19" s="35"/>
      <c r="T19" s="35">
        <v>9.4</v>
      </c>
      <c r="U19" s="35">
        <v>77.2</v>
      </c>
      <c r="V19" s="35"/>
      <c r="W19" s="35"/>
      <c r="X19" s="35"/>
      <c r="Y19" s="35"/>
      <c r="Z19" s="35">
        <v>3</v>
      </c>
      <c r="AA19" s="35"/>
      <c r="AB19" s="35">
        <v>57.023076923076921</v>
      </c>
      <c r="AC19" s="35">
        <v>2.1</v>
      </c>
      <c r="AD19" s="35">
        <v>14.7</v>
      </c>
      <c r="AE19" s="35">
        <v>5.927777777777778</v>
      </c>
      <c r="AF19" s="35"/>
      <c r="AG19" s="35"/>
      <c r="AH19" s="35"/>
      <c r="AI19" s="35">
        <v>4.8</v>
      </c>
      <c r="AJ19" s="35">
        <v>28.3</v>
      </c>
      <c r="AK19" s="40"/>
      <c r="AL19" s="41">
        <f t="shared" si="0"/>
        <v>30.900000000000002</v>
      </c>
      <c r="AM19" s="41">
        <f t="shared" si="1"/>
        <v>220</v>
      </c>
      <c r="AN19" s="41">
        <f t="shared" si="2"/>
        <v>70.772719780219774</v>
      </c>
    </row>
    <row r="20" spans="1:40" x14ac:dyDescent="0.25">
      <c r="A20" s="34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8"/>
      <c r="O20" s="39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>
        <f>0.1363+13.2385</f>
        <v>13.3748</v>
      </c>
      <c r="AJ20" s="35">
        <v>5.246E-2</v>
      </c>
      <c r="AK20" s="35">
        <f>5915.51824/180</f>
        <v>32.863990222222228</v>
      </c>
      <c r="AL20" s="41">
        <f t="shared" si="0"/>
        <v>13.3748</v>
      </c>
      <c r="AM20" s="41">
        <f t="shared" si="1"/>
        <v>5.246E-2</v>
      </c>
      <c r="AN20" s="41">
        <f t="shared" si="2"/>
        <v>32.863990222222228</v>
      </c>
    </row>
    <row r="21" spans="1:40" x14ac:dyDescent="0.25">
      <c r="A21" s="34" t="s">
        <v>55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  <c r="M21" s="37"/>
      <c r="N21" s="38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40"/>
      <c r="AL21" s="41">
        <f t="shared" si="0"/>
        <v>0</v>
      </c>
      <c r="AM21" s="41">
        <f t="shared" si="1"/>
        <v>0</v>
      </c>
      <c r="AN21" s="41">
        <f t="shared" si="2"/>
        <v>0</v>
      </c>
    </row>
    <row r="22" spans="1:40" x14ac:dyDescent="0.25">
      <c r="A22" s="34" t="s">
        <v>27</v>
      </c>
      <c r="B22" s="35"/>
      <c r="C22" s="35"/>
      <c r="D22" s="35"/>
      <c r="E22" s="35"/>
      <c r="F22" s="35"/>
      <c r="G22" s="35"/>
      <c r="H22" s="35">
        <v>0.84</v>
      </c>
      <c r="I22" s="35">
        <v>11</v>
      </c>
      <c r="J22" s="35"/>
      <c r="K22" s="35"/>
      <c r="L22" s="36"/>
      <c r="M22" s="37"/>
      <c r="N22" s="38">
        <v>1.9990000000000001</v>
      </c>
      <c r="O22" s="39">
        <v>39</v>
      </c>
      <c r="P22" s="35"/>
      <c r="Q22" s="35"/>
      <c r="R22" s="35"/>
      <c r="S22" s="35"/>
      <c r="T22" s="35">
        <v>8.1430000000000007</v>
      </c>
      <c r="U22" s="35">
        <v>89</v>
      </c>
      <c r="V22" s="35"/>
      <c r="W22" s="35"/>
      <c r="X22" s="35"/>
      <c r="Y22" s="35"/>
      <c r="Z22" s="35">
        <v>2.4279999999999999</v>
      </c>
      <c r="AA22" s="35">
        <v>14</v>
      </c>
      <c r="AB22" s="35"/>
      <c r="AC22" s="35">
        <v>0.27400000000000002</v>
      </c>
      <c r="AD22" s="35">
        <v>1</v>
      </c>
      <c r="AE22" s="35"/>
      <c r="AF22" s="35"/>
      <c r="AG22" s="35"/>
      <c r="AH22" s="35"/>
      <c r="AI22" s="35">
        <v>4.0659999999999998</v>
      </c>
      <c r="AJ22" s="35">
        <v>54</v>
      </c>
      <c r="AK22" s="40"/>
      <c r="AL22" s="41">
        <f t="shared" si="0"/>
        <v>17.75</v>
      </c>
      <c r="AM22" s="41">
        <f t="shared" si="1"/>
        <v>208</v>
      </c>
      <c r="AN22" s="41">
        <f t="shared" si="2"/>
        <v>0</v>
      </c>
    </row>
    <row r="23" spans="1:40" ht="15.75" x14ac:dyDescent="0.25">
      <c r="A23" s="1" t="s">
        <v>28</v>
      </c>
      <c r="B23" s="27"/>
      <c r="C23" s="27"/>
      <c r="D23" s="27"/>
      <c r="E23" s="27"/>
      <c r="F23" s="27"/>
      <c r="G23" s="27"/>
      <c r="H23" s="27">
        <v>0.47</v>
      </c>
      <c r="I23" s="27">
        <v>1.54</v>
      </c>
      <c r="J23" s="27"/>
      <c r="K23" s="27">
        <v>0.01</v>
      </c>
      <c r="L23" s="27"/>
      <c r="M23" s="27"/>
      <c r="N23" s="27">
        <v>0.43</v>
      </c>
      <c r="O23" s="27">
        <v>1.94</v>
      </c>
      <c r="P23" s="27"/>
      <c r="Q23" s="27">
        <v>0.12</v>
      </c>
      <c r="R23" s="27">
        <v>0.53</v>
      </c>
      <c r="S23" s="27"/>
      <c r="T23" s="27">
        <v>3.76</v>
      </c>
      <c r="U23" s="27">
        <v>23.82</v>
      </c>
      <c r="V23" s="27"/>
      <c r="W23" s="27"/>
      <c r="X23" s="27"/>
      <c r="Y23" s="27"/>
      <c r="Z23" s="27">
        <v>1.21</v>
      </c>
      <c r="AA23" s="27">
        <v>6.99</v>
      </c>
      <c r="AB23" s="27"/>
      <c r="AC23" s="27">
        <v>0.45</v>
      </c>
      <c r="AD23" s="27">
        <v>2.1800000000000002</v>
      </c>
      <c r="AE23" s="27"/>
      <c r="AF23" s="27"/>
      <c r="AG23" s="27"/>
      <c r="AH23" s="27"/>
      <c r="AI23" s="27">
        <v>0.8</v>
      </c>
      <c r="AJ23" s="27">
        <v>1.53</v>
      </c>
      <c r="AK23" s="27"/>
      <c r="AL23" s="41">
        <f t="shared" si="0"/>
        <v>7.2499999999999991</v>
      </c>
      <c r="AM23" s="41">
        <f t="shared" si="1"/>
        <v>38.53</v>
      </c>
      <c r="AN23" s="41">
        <f t="shared" si="2"/>
        <v>0</v>
      </c>
    </row>
    <row r="24" spans="1:40" x14ac:dyDescent="0.25">
      <c r="A24" s="44" t="s">
        <v>29</v>
      </c>
      <c r="B24" s="35"/>
      <c r="C24" s="35"/>
      <c r="D24" s="35"/>
      <c r="E24" s="35">
        <v>1.6E-2</v>
      </c>
      <c r="F24" s="35"/>
      <c r="G24" s="35"/>
      <c r="H24" s="35"/>
      <c r="I24" s="35"/>
      <c r="J24" s="35"/>
      <c r="K24" s="35">
        <v>0.03</v>
      </c>
      <c r="L24" s="36"/>
      <c r="M24" s="37"/>
      <c r="N24" s="38">
        <v>8.0000000000000002E-3</v>
      </c>
      <c r="O24" s="39"/>
      <c r="P24" s="35"/>
      <c r="Q24" s="35"/>
      <c r="R24" s="35"/>
      <c r="S24" s="35"/>
      <c r="T24" s="35">
        <v>0.24</v>
      </c>
      <c r="U24" s="35">
        <v>0.128</v>
      </c>
      <c r="V24" s="35"/>
      <c r="W24" s="35">
        <v>2.9000000000000001E-2</v>
      </c>
      <c r="X24" s="35"/>
      <c r="Y24" s="35"/>
      <c r="Z24" s="35">
        <v>4.9000000000000002E-2</v>
      </c>
      <c r="AA24" s="35">
        <v>1.4999999999999999E-2</v>
      </c>
      <c r="AB24" s="35"/>
      <c r="AC24" s="35">
        <v>1.7999999999999999E-2</v>
      </c>
      <c r="AD24" s="35"/>
      <c r="AE24" s="35"/>
      <c r="AF24" s="35"/>
      <c r="AG24" s="35"/>
      <c r="AH24" s="35"/>
      <c r="AI24" s="35">
        <v>0.42</v>
      </c>
      <c r="AJ24" s="35">
        <v>0.158</v>
      </c>
      <c r="AK24" s="40"/>
      <c r="AL24" s="41">
        <f t="shared" si="0"/>
        <v>0.81</v>
      </c>
      <c r="AM24" s="41">
        <f t="shared" si="1"/>
        <v>0.30100000000000005</v>
      </c>
      <c r="AN24" s="41">
        <f t="shared" si="2"/>
        <v>0</v>
      </c>
    </row>
    <row r="25" spans="1:40" x14ac:dyDescent="0.25">
      <c r="A25" s="34" t="s">
        <v>30</v>
      </c>
      <c r="B25" s="35">
        <v>2.1999999999999999E-2</v>
      </c>
      <c r="C25" s="35"/>
      <c r="D25" s="35">
        <v>0.72222222222222221</v>
      </c>
      <c r="E25" s="35">
        <v>4.0000000000000001E-3</v>
      </c>
      <c r="F25" s="35"/>
      <c r="G25" s="35">
        <v>0.38095238095238093</v>
      </c>
      <c r="H25" s="35">
        <v>4.0000000000000001E-3</v>
      </c>
      <c r="I25" s="35"/>
      <c r="J25" s="35">
        <v>8.8888888888888892E-2</v>
      </c>
      <c r="K25" s="35">
        <v>1.4E-2</v>
      </c>
      <c r="L25" s="36"/>
      <c r="M25" s="37">
        <v>0.91428571428571426</v>
      </c>
      <c r="N25" s="38"/>
      <c r="O25" s="39"/>
      <c r="P25" s="35"/>
      <c r="Q25" s="35"/>
      <c r="R25" s="35"/>
      <c r="S25" s="35"/>
      <c r="T25" s="35"/>
      <c r="U25" s="35"/>
      <c r="V25" s="35"/>
      <c r="W25" s="35">
        <v>1.2999999999999999E-2</v>
      </c>
      <c r="X25" s="35"/>
      <c r="Y25" s="35">
        <v>0.5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40"/>
      <c r="AL25" s="41">
        <f t="shared" si="0"/>
        <v>5.6999999999999995E-2</v>
      </c>
      <c r="AM25" s="41">
        <f t="shared" si="1"/>
        <v>0</v>
      </c>
      <c r="AN25" s="41">
        <f t="shared" si="2"/>
        <v>2.6063492063492064</v>
      </c>
    </row>
    <row r="26" spans="1:40" x14ac:dyDescent="0.25">
      <c r="A26" s="34" t="s">
        <v>31</v>
      </c>
      <c r="B26" s="35">
        <v>0.01</v>
      </c>
      <c r="D26" s="35">
        <v>0.83611111111111114</v>
      </c>
      <c r="E26" s="35">
        <v>2.5000000000000001E-2</v>
      </c>
      <c r="F26" s="35"/>
      <c r="G26" s="35">
        <v>0.11</v>
      </c>
      <c r="H26" s="35"/>
      <c r="I26" s="35"/>
      <c r="J26" s="35"/>
      <c r="K26" s="35">
        <v>2.7E-2</v>
      </c>
      <c r="L26" s="36"/>
      <c r="M26" s="36">
        <v>0.17257142857142857</v>
      </c>
      <c r="N26" s="38">
        <v>1.2999999999999999E-2</v>
      </c>
      <c r="P26" s="39">
        <v>5.6249999999999998E-3</v>
      </c>
      <c r="Q26" s="35"/>
      <c r="R26" s="35"/>
      <c r="S26" s="35"/>
      <c r="T26" s="35"/>
      <c r="U26" s="35"/>
      <c r="V26" s="35"/>
      <c r="W26" s="35">
        <v>0.02</v>
      </c>
      <c r="Y26" s="35">
        <v>8.076923076923077E-3</v>
      </c>
      <c r="Z26" s="35">
        <v>2.4E-2</v>
      </c>
      <c r="AB26" s="35">
        <v>0.69330769230769229</v>
      </c>
      <c r="AC26" s="35"/>
      <c r="AD26" s="35"/>
      <c r="AE26" s="35"/>
      <c r="AF26" s="35"/>
      <c r="AG26" s="35"/>
      <c r="AH26" s="35"/>
      <c r="AI26" s="35">
        <v>7.9000000000000001E-2</v>
      </c>
      <c r="AJ26" s="35">
        <v>180</v>
      </c>
      <c r="AK26" s="40"/>
      <c r="AL26" s="41">
        <f t="shared" si="0"/>
        <v>0.19800000000000001</v>
      </c>
      <c r="AM26" s="41">
        <f>D26+F26+I26+L26+P26+R26+U26+Y26+AB26+AD26+AG26+AJ26</f>
        <v>181.54312072649572</v>
      </c>
      <c r="AN26" s="41">
        <f t="shared" si="2"/>
        <v>1.8256921550671552</v>
      </c>
    </row>
    <row r="27" spans="1:40" x14ac:dyDescent="0.25">
      <c r="A27" s="50" t="s">
        <v>32</v>
      </c>
      <c r="B27" s="35">
        <v>3.0000000000000001E-3</v>
      </c>
      <c r="C27" s="35"/>
      <c r="D27" s="35"/>
      <c r="E27" s="35"/>
      <c r="F27" s="35"/>
      <c r="G27" s="35"/>
      <c r="H27" s="35"/>
      <c r="I27" s="35"/>
      <c r="J27" s="35"/>
      <c r="K27" s="35">
        <v>1E-3</v>
      </c>
      <c r="L27" s="36"/>
      <c r="M27" s="37"/>
      <c r="N27" s="38"/>
      <c r="O27" s="39"/>
      <c r="P27" s="35"/>
      <c r="Q27" s="35"/>
      <c r="R27" s="35"/>
      <c r="S27" s="35"/>
      <c r="T27" s="35"/>
      <c r="U27" s="35"/>
      <c r="V27" s="35"/>
      <c r="W27" s="35">
        <v>1E-3</v>
      </c>
      <c r="X27" s="35"/>
      <c r="Y27" s="35"/>
      <c r="Z27" s="35">
        <v>2E-3</v>
      </c>
      <c r="AA27" s="35"/>
      <c r="AB27" s="35"/>
      <c r="AC27" s="35"/>
      <c r="AD27" s="35"/>
      <c r="AE27" s="35"/>
      <c r="AF27" s="35"/>
      <c r="AG27" s="35"/>
      <c r="AH27" s="35"/>
      <c r="AI27" s="35">
        <v>4.0000000000000001E-3</v>
      </c>
      <c r="AJ27" s="35"/>
      <c r="AK27" s="40"/>
      <c r="AL27" s="41">
        <f t="shared" si="0"/>
        <v>1.0999999999999999E-2</v>
      </c>
      <c r="AM27" s="41">
        <f t="shared" si="1"/>
        <v>0</v>
      </c>
      <c r="AN27" s="41">
        <f t="shared" si="2"/>
        <v>0</v>
      </c>
    </row>
    <row r="28" spans="1:40" ht="15.75" x14ac:dyDescent="0.25">
      <c r="A28" s="1" t="s">
        <v>175</v>
      </c>
      <c r="B28" s="7"/>
      <c r="C28" s="7"/>
      <c r="D28" s="7"/>
      <c r="E28" s="7"/>
      <c r="F28" s="7"/>
      <c r="G28" s="7"/>
      <c r="H28" s="7"/>
      <c r="I28" s="7"/>
      <c r="J28" s="7"/>
      <c r="K28" s="7">
        <v>8.0000000000000002E-3</v>
      </c>
      <c r="L28" s="7"/>
      <c r="M28" s="7">
        <v>1E-3</v>
      </c>
      <c r="N28" s="7">
        <v>2.37</v>
      </c>
      <c r="O28" s="7"/>
      <c r="P28" s="7">
        <f>2358.78/80</f>
        <v>29.484750000000002</v>
      </c>
      <c r="Q28" s="7"/>
      <c r="R28" s="7"/>
      <c r="S28" s="7"/>
      <c r="T28" s="7">
        <v>2.74</v>
      </c>
      <c r="U28" s="7">
        <v>24.58</v>
      </c>
      <c r="V28" s="7"/>
      <c r="W28" s="7"/>
      <c r="X28" s="7"/>
      <c r="Y28" s="7"/>
      <c r="Z28" s="7">
        <v>1.87</v>
      </c>
      <c r="AA28" s="7"/>
      <c r="AB28" s="7">
        <f>3597.64/130</f>
        <v>27.674153846153846</v>
      </c>
      <c r="AC28" s="7">
        <v>0.51</v>
      </c>
      <c r="AD28" s="7">
        <v>1.28</v>
      </c>
      <c r="AE28" s="7"/>
      <c r="AF28" s="7"/>
      <c r="AG28" s="7"/>
      <c r="AH28" s="7"/>
      <c r="AI28" s="7"/>
      <c r="AJ28" s="7"/>
      <c r="AK28" s="7"/>
      <c r="AL28" s="41">
        <f t="shared" si="0"/>
        <v>7.4980000000000002</v>
      </c>
      <c r="AM28" s="41">
        <f t="shared" si="1"/>
        <v>25.86</v>
      </c>
      <c r="AN28" s="41">
        <f t="shared" si="2"/>
        <v>57.159903846153853</v>
      </c>
    </row>
    <row r="29" spans="1:40" x14ac:dyDescent="0.25">
      <c r="A29" s="50" t="s">
        <v>165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37"/>
      <c r="N29" s="38"/>
      <c r="O29" s="39"/>
      <c r="P29" s="35"/>
      <c r="Q29" s="35">
        <v>0.03</v>
      </c>
      <c r="R29" s="35">
        <v>0.30499999999999999</v>
      </c>
      <c r="S29" s="35"/>
      <c r="T29" s="35">
        <v>0.11799999999999999</v>
      </c>
      <c r="U29" s="35">
        <v>1.0620000000000001</v>
      </c>
      <c r="V29" s="35"/>
      <c r="W29" s="35"/>
      <c r="X29" s="35"/>
      <c r="Y29" s="35"/>
      <c r="Z29" s="35">
        <v>6.0000000000000001E-3</v>
      </c>
      <c r="AA29" s="35">
        <v>3.0000000000000001E-3</v>
      </c>
      <c r="AB29" s="35"/>
      <c r="AC29" s="35">
        <v>4.0000000000000001E-3</v>
      </c>
      <c r="AD29" s="35">
        <v>2.4E-2</v>
      </c>
      <c r="AE29" s="35"/>
      <c r="AF29" s="35"/>
      <c r="AG29" s="35"/>
      <c r="AH29" s="35"/>
      <c r="AI29" s="35">
        <v>1.7000000000000001E-2</v>
      </c>
      <c r="AJ29" s="35">
        <v>9.4E-2</v>
      </c>
      <c r="AK29" s="40"/>
      <c r="AL29" s="41">
        <f t="shared" si="0"/>
        <v>0.17499999999999999</v>
      </c>
      <c r="AM29" s="41">
        <f t="shared" si="1"/>
        <v>1.488</v>
      </c>
      <c r="AN29" s="41">
        <f t="shared" si="2"/>
        <v>0</v>
      </c>
    </row>
    <row r="30" spans="1:40" x14ac:dyDescent="0.25">
      <c r="A30" s="34" t="s">
        <v>33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37"/>
      <c r="N30" s="38"/>
      <c r="O30" s="39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>
        <v>1.3740000000000001</v>
      </c>
      <c r="AJ30" s="35">
        <v>10.654</v>
      </c>
      <c r="AK30" s="40"/>
      <c r="AL30" s="41">
        <f t="shared" si="0"/>
        <v>1.3740000000000001</v>
      </c>
      <c r="AM30" s="41">
        <f t="shared" si="1"/>
        <v>10.654</v>
      </c>
      <c r="AN30" s="41">
        <f t="shared" si="2"/>
        <v>0</v>
      </c>
    </row>
    <row r="31" spans="1:40" x14ac:dyDescent="0.25">
      <c r="A31" s="34" t="s">
        <v>34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37"/>
      <c r="N31" s="38"/>
      <c r="O31" s="39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>
        <v>2.71</v>
      </c>
      <c r="AJ31" s="35">
        <v>2.91</v>
      </c>
      <c r="AK31" s="40"/>
      <c r="AL31" s="41">
        <f t="shared" si="0"/>
        <v>2.71</v>
      </c>
      <c r="AM31" s="41">
        <f t="shared" si="1"/>
        <v>2.91</v>
      </c>
      <c r="AN31" s="41">
        <f t="shared" si="2"/>
        <v>0</v>
      </c>
    </row>
    <row r="32" spans="1:40" x14ac:dyDescent="0.25">
      <c r="A32" s="34" t="s">
        <v>35</v>
      </c>
      <c r="B32" s="35">
        <v>1.0999999999999999E-2</v>
      </c>
      <c r="C32" s="35"/>
      <c r="D32" s="35">
        <v>2.7777777777777776E-2</v>
      </c>
      <c r="E32" s="35">
        <v>7.0000000000000001E-3</v>
      </c>
      <c r="F32" s="35"/>
      <c r="G32" s="35">
        <v>4.2857142857142858E-2</v>
      </c>
      <c r="H32" s="35"/>
      <c r="I32" s="35"/>
      <c r="J32" s="35"/>
      <c r="K32" s="35">
        <v>3.1E-2</v>
      </c>
      <c r="L32" s="36"/>
      <c r="M32" s="37">
        <v>0.10857142857142857</v>
      </c>
      <c r="N32" s="38">
        <v>3.4000000000000002E-2</v>
      </c>
      <c r="O32" s="39"/>
      <c r="P32" s="35">
        <v>0.875</v>
      </c>
      <c r="Q32" s="35"/>
      <c r="R32" s="35"/>
      <c r="S32" s="35"/>
      <c r="T32" s="35">
        <v>1.7000000000000001E-2</v>
      </c>
      <c r="U32" s="35">
        <v>16.5</v>
      </c>
      <c r="V32" s="35"/>
      <c r="W32" s="35">
        <v>3.7999999999999999E-2</v>
      </c>
      <c r="X32" s="35"/>
      <c r="Y32" s="35">
        <v>0.24615384615384617</v>
      </c>
      <c r="Z32" s="35">
        <v>2.5000000000000001E-2</v>
      </c>
      <c r="AA32" s="35"/>
      <c r="AB32" s="35">
        <v>0.18461538461538463</v>
      </c>
      <c r="AC32" s="35"/>
      <c r="AD32" s="35"/>
      <c r="AE32" s="35"/>
      <c r="AF32" s="35"/>
      <c r="AG32" s="35"/>
      <c r="AH32" s="35"/>
      <c r="AI32" s="35">
        <v>7.9000000000000001E-2</v>
      </c>
      <c r="AJ32" s="35"/>
      <c r="AK32" s="40">
        <v>0.43888888888888888</v>
      </c>
      <c r="AL32" s="41">
        <f t="shared" si="0"/>
        <v>0.24199999999999999</v>
      </c>
      <c r="AM32" s="41">
        <f t="shared" si="1"/>
        <v>16.5</v>
      </c>
      <c r="AN32" s="41">
        <f t="shared" si="2"/>
        <v>1.9238644688644688</v>
      </c>
    </row>
    <row r="33" spans="1:40" ht="15.75" x14ac:dyDescent="0.25">
      <c r="A33" s="34" t="s">
        <v>36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27">
        <v>55.03</v>
      </c>
      <c r="AJ33" s="27">
        <v>343.65</v>
      </c>
      <c r="AK33" s="27">
        <f>2317.304/180</f>
        <v>12.873911111111111</v>
      </c>
      <c r="AL33" s="41">
        <f t="shared" si="0"/>
        <v>55.03</v>
      </c>
      <c r="AM33" s="41">
        <f t="shared" si="1"/>
        <v>343.65</v>
      </c>
      <c r="AN33" s="41">
        <f t="shared" si="2"/>
        <v>12.873911111111111</v>
      </c>
    </row>
    <row r="34" spans="1:40" x14ac:dyDescent="0.25">
      <c r="A34" s="45" t="s">
        <v>218</v>
      </c>
      <c r="B34" s="35"/>
      <c r="C34" s="35"/>
      <c r="D34" s="35"/>
      <c r="E34" s="35"/>
      <c r="F34" s="35"/>
      <c r="G34" s="35"/>
      <c r="H34" s="35">
        <v>1.343</v>
      </c>
      <c r="I34" s="35">
        <v>2.9180000000000001</v>
      </c>
      <c r="J34" s="35"/>
      <c r="K34" s="35">
        <v>4.9000000000000002E-2</v>
      </c>
      <c r="L34" s="36"/>
      <c r="M34" s="37">
        <v>6.0057142857142853</v>
      </c>
      <c r="N34" s="38"/>
      <c r="O34" s="39"/>
      <c r="P34" s="35"/>
      <c r="Q34" s="35">
        <v>0.57799999999999996</v>
      </c>
      <c r="R34" s="35">
        <v>1.502</v>
      </c>
      <c r="S34" s="35"/>
      <c r="T34" s="35">
        <v>2.319</v>
      </c>
      <c r="U34" s="35">
        <v>9.1489999999999991</v>
      </c>
      <c r="V34" s="35"/>
      <c r="W34" s="35"/>
      <c r="X34" s="35"/>
      <c r="Y34" s="35"/>
      <c r="Z34" s="35">
        <v>0.81699999999999995</v>
      </c>
      <c r="AA34" s="35">
        <v>1.1919999999999999</v>
      </c>
      <c r="AB34" s="35"/>
      <c r="AC34" s="35">
        <v>1.4E-2</v>
      </c>
      <c r="AD34" s="35">
        <v>6.5000000000000002E-2</v>
      </c>
      <c r="AE34" s="35"/>
      <c r="AF34" s="35"/>
      <c r="AG34" s="35"/>
      <c r="AH34" s="35"/>
      <c r="AI34" s="35">
        <v>2.3149999999999999</v>
      </c>
      <c r="AJ34" s="35">
        <v>6.8879999999999999</v>
      </c>
      <c r="AK34" s="40"/>
      <c r="AL34" s="41">
        <f t="shared" si="0"/>
        <v>7.4350000000000005</v>
      </c>
      <c r="AM34" s="41">
        <f t="shared" si="1"/>
        <v>21.713999999999999</v>
      </c>
      <c r="AN34" s="41">
        <f t="shared" si="2"/>
        <v>6.0057142857142853</v>
      </c>
    </row>
    <row r="35" spans="1:40" x14ac:dyDescent="0.25">
      <c r="A35" s="34" t="s">
        <v>37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37"/>
      <c r="N35" s="38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40"/>
      <c r="AL35" s="41">
        <f t="shared" si="0"/>
        <v>0</v>
      </c>
      <c r="AM35" s="41">
        <f t="shared" si="1"/>
        <v>0</v>
      </c>
      <c r="AN35" s="41">
        <f t="shared" si="2"/>
        <v>0</v>
      </c>
    </row>
    <row r="36" spans="1:40" x14ac:dyDescent="0.25">
      <c r="A36" s="34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37"/>
      <c r="N36" s="38">
        <v>3.21</v>
      </c>
      <c r="O36" s="39"/>
      <c r="P36" s="35">
        <v>3.7499999999999999E-2</v>
      </c>
      <c r="Q36" s="35"/>
      <c r="R36" s="35"/>
      <c r="S36" s="35"/>
      <c r="T36" s="35">
        <v>3.6019999999999999</v>
      </c>
      <c r="U36" s="35">
        <v>7.2039999999999997</v>
      </c>
      <c r="V36" s="35"/>
      <c r="W36" s="35"/>
      <c r="X36" s="35"/>
      <c r="Y36" s="35"/>
      <c r="Z36" s="35">
        <v>10.393000000000001</v>
      </c>
      <c r="AA36" s="35">
        <v>27.111999999999998</v>
      </c>
      <c r="AB36" s="35">
        <v>1.5384615384615385E-2</v>
      </c>
      <c r="AC36" s="35"/>
      <c r="AD36" s="35"/>
      <c r="AE36" s="35"/>
      <c r="AF36" s="35"/>
      <c r="AG36" s="35"/>
      <c r="AH36" s="35"/>
      <c r="AI36" s="35"/>
      <c r="AJ36" s="35"/>
      <c r="AK36" s="40"/>
      <c r="AL36" s="41">
        <f t="shared" si="0"/>
        <v>17.204999999999998</v>
      </c>
      <c r="AM36" s="41">
        <f t="shared" si="1"/>
        <v>34.315999999999995</v>
      </c>
      <c r="AN36" s="41">
        <f t="shared" si="2"/>
        <v>5.2884615384615384E-2</v>
      </c>
    </row>
    <row r="37" spans="1:40" x14ac:dyDescent="0.25">
      <c r="A37" s="34" t="s">
        <v>88</v>
      </c>
      <c r="B37" s="35"/>
      <c r="C37" s="35"/>
      <c r="D37" s="35"/>
      <c r="E37" s="35">
        <v>3.3000000000000002E-2</v>
      </c>
      <c r="F37" s="35"/>
      <c r="G37" s="35">
        <v>1.1666666666666667</v>
      </c>
      <c r="H37" s="35"/>
      <c r="I37" s="35"/>
      <c r="J37" s="35"/>
      <c r="K37" s="35">
        <v>9.0999999999999998E-2</v>
      </c>
      <c r="L37" s="36"/>
      <c r="M37" s="37">
        <v>5.5714285714285712</v>
      </c>
      <c r="N37" s="38">
        <v>0.48399999999999999</v>
      </c>
      <c r="O37" s="39"/>
      <c r="P37" s="35">
        <v>7.875</v>
      </c>
      <c r="Q37" s="35"/>
      <c r="R37" s="35"/>
      <c r="S37" s="35"/>
      <c r="T37" s="35">
        <v>0.68500000000000005</v>
      </c>
      <c r="U37" s="35">
        <v>1.47</v>
      </c>
      <c r="V37" s="35"/>
      <c r="W37" s="35"/>
      <c r="X37" s="35"/>
      <c r="Y37" s="35"/>
      <c r="Z37" s="35">
        <v>0.16300000000000001</v>
      </c>
      <c r="AA37" s="35">
        <v>0.16</v>
      </c>
      <c r="AB37" s="35"/>
      <c r="AC37" s="35">
        <v>2.7E-2</v>
      </c>
      <c r="AD37" s="35">
        <v>0.32400000000000001</v>
      </c>
      <c r="AE37" s="35"/>
      <c r="AF37" s="35"/>
      <c r="AG37" s="35"/>
      <c r="AH37" s="35"/>
      <c r="AI37" s="35">
        <v>0.14199999999999999</v>
      </c>
      <c r="AJ37" s="35">
        <v>0.13300000000000001</v>
      </c>
      <c r="AK37" s="40">
        <v>7.2222222222222215E-2</v>
      </c>
      <c r="AL37" s="41">
        <f t="shared" si="0"/>
        <v>1.625</v>
      </c>
      <c r="AM37" s="41">
        <f t="shared" si="1"/>
        <v>2.0869999999999997</v>
      </c>
      <c r="AN37" s="41">
        <f t="shared" si="2"/>
        <v>14.68531746031746</v>
      </c>
    </row>
    <row r="38" spans="1:40" x14ac:dyDescent="0.25">
      <c r="A38" s="34" t="s">
        <v>39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37">
        <v>0</v>
      </c>
      <c r="N38" s="38"/>
      <c r="O38" s="39"/>
      <c r="P38" s="35">
        <v>0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>
        <v>25.32</v>
      </c>
      <c r="AJ38" s="35">
        <v>68.150000000000006</v>
      </c>
      <c r="AK38" s="40">
        <v>148.02777777777777</v>
      </c>
      <c r="AL38" s="41">
        <f t="shared" si="0"/>
        <v>25.32</v>
      </c>
      <c r="AM38" s="41">
        <f t="shared" si="1"/>
        <v>68.150000000000006</v>
      </c>
      <c r="AN38" s="41">
        <f t="shared" si="2"/>
        <v>148.02777777777777</v>
      </c>
    </row>
    <row r="39" spans="1:40" x14ac:dyDescent="0.25">
      <c r="A39" s="46" t="s">
        <v>52</v>
      </c>
      <c r="B39" s="47">
        <f>SUM(B4:B38)</f>
        <v>0.11659999999999998</v>
      </c>
      <c r="C39" s="47">
        <f t="shared" ref="C39:AN39" si="3">SUM(C4:C38)</f>
        <v>0.41599999999999998</v>
      </c>
      <c r="D39" s="47">
        <f t="shared" si="3"/>
        <v>2.9138888888888888</v>
      </c>
      <c r="E39" s="47">
        <f t="shared" si="3"/>
        <v>0.23399999999999999</v>
      </c>
      <c r="F39" s="47">
        <f t="shared" si="3"/>
        <v>0.61399999999999999</v>
      </c>
      <c r="G39" s="47">
        <f t="shared" si="3"/>
        <v>5.2004761904761905</v>
      </c>
      <c r="H39" s="47">
        <f t="shared" si="3"/>
        <v>11.050999999999998</v>
      </c>
      <c r="I39" s="47">
        <f t="shared" si="3"/>
        <v>106.76200000000001</v>
      </c>
      <c r="J39" s="47">
        <f t="shared" si="3"/>
        <v>6.0333333333333332</v>
      </c>
      <c r="K39" s="47">
        <f t="shared" si="3"/>
        <v>0.90100000000000013</v>
      </c>
      <c r="L39" s="47">
        <f t="shared" si="3"/>
        <v>4</v>
      </c>
      <c r="M39" s="47">
        <f t="shared" si="3"/>
        <v>21.842142857142854</v>
      </c>
      <c r="N39" s="47">
        <f t="shared" si="3"/>
        <v>11.161</v>
      </c>
      <c r="O39" s="47">
        <f t="shared" si="3"/>
        <v>48.32</v>
      </c>
      <c r="P39" s="47">
        <f t="shared" si="3"/>
        <v>54.594375000000007</v>
      </c>
      <c r="Q39" s="47">
        <f t="shared" si="3"/>
        <v>10.010999999999997</v>
      </c>
      <c r="R39" s="47">
        <f t="shared" si="3"/>
        <v>56.565000000000005</v>
      </c>
      <c r="S39" s="47">
        <f t="shared" si="3"/>
        <v>1.7277777777777779</v>
      </c>
      <c r="T39" s="47">
        <f t="shared" si="3"/>
        <v>56.040000000000006</v>
      </c>
      <c r="U39" s="47">
        <f t="shared" si="3"/>
        <v>497.59480000000002</v>
      </c>
      <c r="V39" s="47">
        <f t="shared" si="3"/>
        <v>4.2777777777777777</v>
      </c>
      <c r="W39" s="47">
        <f t="shared" si="3"/>
        <v>0.46500000000000002</v>
      </c>
      <c r="X39" s="47">
        <f t="shared" si="3"/>
        <v>2.496</v>
      </c>
      <c r="Y39" s="47">
        <f t="shared" si="3"/>
        <v>5.5003846153846156</v>
      </c>
      <c r="Z39" s="47">
        <f t="shared" si="3"/>
        <v>26.328500000000002</v>
      </c>
      <c r="AA39" s="47">
        <f t="shared" si="3"/>
        <v>91.751999999999995</v>
      </c>
      <c r="AB39" s="47">
        <f t="shared" si="3"/>
        <v>120.94911538461538</v>
      </c>
      <c r="AC39" s="47">
        <f t="shared" si="3"/>
        <v>6.8239999999999998</v>
      </c>
      <c r="AD39" s="47">
        <f t="shared" si="3"/>
        <v>42.736999999999995</v>
      </c>
      <c r="AE39" s="47">
        <f t="shared" si="3"/>
        <v>5.9346777777777779</v>
      </c>
      <c r="AF39" s="47">
        <f t="shared" si="3"/>
        <v>1.7999999999999999E-2</v>
      </c>
      <c r="AG39" s="47">
        <f t="shared" si="3"/>
        <v>0</v>
      </c>
      <c r="AH39" s="47">
        <f t="shared" si="3"/>
        <v>0</v>
      </c>
      <c r="AI39" s="47">
        <f t="shared" si="3"/>
        <v>125.35579999999999</v>
      </c>
      <c r="AJ39" s="47">
        <f t="shared" si="3"/>
        <v>805.91546000000005</v>
      </c>
      <c r="AK39" s="47">
        <f t="shared" si="3"/>
        <v>255.19901244444443</v>
      </c>
      <c r="AL39" s="47">
        <f t="shared" si="3"/>
        <v>248.5059</v>
      </c>
      <c r="AM39" s="47">
        <f t="shared" si="3"/>
        <v>1658.7153807264956</v>
      </c>
      <c r="AN39" s="47">
        <f t="shared" si="3"/>
        <v>484.17296204761902</v>
      </c>
    </row>
    <row r="40" spans="1:40" ht="15.75" x14ac:dyDescent="0.25">
      <c r="A40" s="83" t="s">
        <v>267</v>
      </c>
      <c r="G40" s="48"/>
    </row>
    <row r="41" spans="1:40" ht="15.75" x14ac:dyDescent="0.25">
      <c r="A41" s="83" t="s">
        <v>192</v>
      </c>
    </row>
  </sheetData>
  <mergeCells count="26">
    <mergeCell ref="AL1:AN1"/>
    <mergeCell ref="AC1:AE1"/>
    <mergeCell ref="AF1:AH1"/>
    <mergeCell ref="AI1:AK1"/>
    <mergeCell ref="L2:M2"/>
    <mergeCell ref="O2:P2"/>
    <mergeCell ref="AD2:AE2"/>
    <mergeCell ref="AG2:AH2"/>
    <mergeCell ref="AJ2:AK2"/>
    <mergeCell ref="AM2:AN2"/>
    <mergeCell ref="U2:V2"/>
    <mergeCell ref="X2:Y2"/>
    <mergeCell ref="AA2:AB2"/>
    <mergeCell ref="T1:V1"/>
    <mergeCell ref="W1:Y1"/>
    <mergeCell ref="Z1:AB1"/>
    <mergeCell ref="R2:S2"/>
    <mergeCell ref="Q1:S1"/>
    <mergeCell ref="C2:D2"/>
    <mergeCell ref="F2:G2"/>
    <mergeCell ref="I2:J2"/>
    <mergeCell ref="B1:D1"/>
    <mergeCell ref="E1:G1"/>
    <mergeCell ref="H1:J1"/>
    <mergeCell ref="K1:M1"/>
    <mergeCell ref="N1:P1"/>
  </mergeCells>
  <pageMargins left="0.196850393700787" right="0.196850393700787" top="0.79" bottom="0.39370078740157499" header="0.45" footer="0.196850393700787"/>
  <pageSetup paperSize="9" scale="84" orientation="landscape" r:id="rId1"/>
  <headerFooter alignWithMargins="0">
    <oddHeader>&amp;C&amp;"Arial,Bold"&amp;14Area and Production of Flowers for 2013-14 (Final)&amp;RArea in '000 Ha
Production in '000 Tonnes</oddHeader>
    <oddFooter>&amp;L&amp;C&amp;R</oddFooter>
  </headerFooter>
  <colBreaks count="2" manualBreakCount="2">
    <brk id="16" max="1048575" man="1"/>
    <brk id="31" max="1048575" man="1"/>
  </colBreaks>
  <ignoredErrors>
    <ignoredError sqref="AL4:AN11 AL25 AL12:AN13 AL27:AN38 AM25:AN25 AL39:AN39 B39:AK39 AL26:AM26 AL15:AN24 AM14:AN1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showGridLines="0" tabSelected="1" topLeftCell="A22" workbookViewId="0">
      <selection activeCell="B43" sqref="B43"/>
    </sheetView>
  </sheetViews>
  <sheetFormatPr defaultRowHeight="15" x14ac:dyDescent="0.25"/>
  <cols>
    <col min="1" max="1" width="24.28515625" style="29" customWidth="1"/>
    <col min="2" max="34" width="9" style="29" customWidth="1"/>
    <col min="35" max="37" width="10.7109375" style="29" customWidth="1"/>
    <col min="38" max="38" width="12.7109375" style="29" customWidth="1"/>
    <col min="39" max="39" width="12.42578125" style="29" customWidth="1"/>
    <col min="40" max="40" width="13" style="29" customWidth="1"/>
    <col min="41" max="16384" width="9.140625" style="29"/>
  </cols>
  <sheetData>
    <row r="1" spans="1:40" ht="15.75" customHeight="1" x14ac:dyDescent="0.25">
      <c r="A1" s="28" t="s">
        <v>229</v>
      </c>
      <c r="B1" s="177" t="s">
        <v>230</v>
      </c>
      <c r="C1" s="179"/>
      <c r="D1" s="178"/>
      <c r="E1" s="177" t="s">
        <v>231</v>
      </c>
      <c r="F1" s="179"/>
      <c r="G1" s="178"/>
      <c r="H1" s="177" t="s">
        <v>232</v>
      </c>
      <c r="I1" s="179"/>
      <c r="J1" s="178"/>
      <c r="K1" s="177" t="s">
        <v>233</v>
      </c>
      <c r="L1" s="179"/>
      <c r="M1" s="178"/>
      <c r="N1" s="177" t="s">
        <v>234</v>
      </c>
      <c r="O1" s="179"/>
      <c r="P1" s="178"/>
      <c r="Q1" s="177" t="s">
        <v>235</v>
      </c>
      <c r="R1" s="179"/>
      <c r="S1" s="178"/>
      <c r="T1" s="177" t="s">
        <v>236</v>
      </c>
      <c r="U1" s="179"/>
      <c r="V1" s="178"/>
      <c r="W1" s="177" t="s">
        <v>237</v>
      </c>
      <c r="X1" s="179"/>
      <c r="Y1" s="178"/>
      <c r="Z1" s="177" t="s">
        <v>238</v>
      </c>
      <c r="AA1" s="179"/>
      <c r="AB1" s="178"/>
      <c r="AC1" s="177" t="s">
        <v>239</v>
      </c>
      <c r="AD1" s="179"/>
      <c r="AE1" s="178"/>
      <c r="AF1" s="177" t="s">
        <v>240</v>
      </c>
      <c r="AG1" s="179"/>
      <c r="AH1" s="181"/>
      <c r="AI1" s="182" t="s">
        <v>241</v>
      </c>
      <c r="AJ1" s="183"/>
      <c r="AK1" s="184"/>
      <c r="AL1" s="180" t="s">
        <v>52</v>
      </c>
      <c r="AM1" s="180"/>
      <c r="AN1" s="180"/>
    </row>
    <row r="2" spans="1:40" ht="18" customHeight="1" x14ac:dyDescent="0.25">
      <c r="A2" s="30"/>
      <c r="B2" s="31" t="s">
        <v>228</v>
      </c>
      <c r="C2" s="177" t="s">
        <v>190</v>
      </c>
      <c r="D2" s="178"/>
      <c r="E2" s="31" t="s">
        <v>228</v>
      </c>
      <c r="F2" s="177" t="s">
        <v>190</v>
      </c>
      <c r="G2" s="178"/>
      <c r="H2" s="31" t="s">
        <v>228</v>
      </c>
      <c r="I2" s="177" t="s">
        <v>190</v>
      </c>
      <c r="J2" s="178"/>
      <c r="K2" s="31" t="s">
        <v>228</v>
      </c>
      <c r="L2" s="185" t="s">
        <v>190</v>
      </c>
      <c r="M2" s="186"/>
      <c r="N2" s="31" t="s">
        <v>228</v>
      </c>
      <c r="O2" s="177" t="s">
        <v>190</v>
      </c>
      <c r="P2" s="178"/>
      <c r="Q2" s="31" t="s">
        <v>228</v>
      </c>
      <c r="R2" s="177" t="s">
        <v>190</v>
      </c>
      <c r="S2" s="178"/>
      <c r="T2" s="31" t="s">
        <v>228</v>
      </c>
      <c r="U2" s="177" t="s">
        <v>190</v>
      </c>
      <c r="V2" s="178"/>
      <c r="W2" s="31" t="s">
        <v>228</v>
      </c>
      <c r="X2" s="177" t="s">
        <v>190</v>
      </c>
      <c r="Y2" s="178"/>
      <c r="Z2" s="31" t="s">
        <v>228</v>
      </c>
      <c r="AA2" s="177" t="s">
        <v>190</v>
      </c>
      <c r="AB2" s="178"/>
      <c r="AC2" s="31" t="s">
        <v>228</v>
      </c>
      <c r="AD2" s="177" t="s">
        <v>190</v>
      </c>
      <c r="AE2" s="178"/>
      <c r="AF2" s="31" t="s">
        <v>228</v>
      </c>
      <c r="AG2" s="177" t="s">
        <v>190</v>
      </c>
      <c r="AH2" s="179"/>
      <c r="AI2" s="57" t="s">
        <v>228</v>
      </c>
      <c r="AJ2" s="180" t="s">
        <v>190</v>
      </c>
      <c r="AK2" s="180"/>
      <c r="AL2" s="57" t="s">
        <v>228</v>
      </c>
      <c r="AM2" s="180" t="s">
        <v>190</v>
      </c>
      <c r="AN2" s="180"/>
    </row>
    <row r="3" spans="1:40" x14ac:dyDescent="0.25">
      <c r="A3" s="32"/>
      <c r="B3" s="31"/>
      <c r="C3" s="31" t="s">
        <v>242</v>
      </c>
      <c r="D3" s="31" t="s">
        <v>243</v>
      </c>
      <c r="E3" s="31"/>
      <c r="F3" s="31" t="s">
        <v>242</v>
      </c>
      <c r="G3" s="31" t="s">
        <v>243</v>
      </c>
      <c r="H3" s="31"/>
      <c r="I3" s="31" t="s">
        <v>242</v>
      </c>
      <c r="J3" s="31" t="s">
        <v>243</v>
      </c>
      <c r="K3" s="31"/>
      <c r="L3" s="31" t="s">
        <v>242</v>
      </c>
      <c r="M3" s="33"/>
      <c r="N3" s="56"/>
      <c r="O3" s="31" t="s">
        <v>242</v>
      </c>
      <c r="P3" s="31" t="s">
        <v>243</v>
      </c>
      <c r="Q3" s="31"/>
      <c r="R3" s="31" t="s">
        <v>242</v>
      </c>
      <c r="S3" s="31" t="s">
        <v>243</v>
      </c>
      <c r="T3" s="31"/>
      <c r="U3" s="31" t="s">
        <v>242</v>
      </c>
      <c r="V3" s="31" t="s">
        <v>243</v>
      </c>
      <c r="W3" s="31"/>
      <c r="X3" s="31" t="s">
        <v>242</v>
      </c>
      <c r="Y3" s="31" t="s">
        <v>243</v>
      </c>
      <c r="Z3" s="31"/>
      <c r="AA3" s="31" t="s">
        <v>242</v>
      </c>
      <c r="AB3" s="31" t="s">
        <v>243</v>
      </c>
      <c r="AC3" s="31"/>
      <c r="AD3" s="31" t="s">
        <v>242</v>
      </c>
      <c r="AE3" s="31" t="s">
        <v>243</v>
      </c>
      <c r="AF3" s="31"/>
      <c r="AG3" s="31" t="s">
        <v>242</v>
      </c>
      <c r="AH3" s="31" t="s">
        <v>243</v>
      </c>
      <c r="AI3" s="57"/>
      <c r="AJ3" s="31" t="s">
        <v>242</v>
      </c>
      <c r="AK3" s="31" t="s">
        <v>243</v>
      </c>
      <c r="AL3" s="57"/>
      <c r="AM3" s="57" t="s">
        <v>242</v>
      </c>
      <c r="AN3" s="57" t="s">
        <v>243</v>
      </c>
    </row>
    <row r="4" spans="1:40" x14ac:dyDescent="0.25">
      <c r="A4" s="34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7"/>
      <c r="N4" s="38"/>
      <c r="O4" s="39"/>
      <c r="P4" s="35"/>
      <c r="Q4" s="35">
        <v>1.0999999999999999E-2</v>
      </c>
      <c r="R4" s="35">
        <v>1.4E-2</v>
      </c>
      <c r="S4" s="35"/>
      <c r="T4" s="35">
        <v>3.5999999999999997E-2</v>
      </c>
      <c r="U4" s="35">
        <v>5.2999999999999999E-2</v>
      </c>
      <c r="V4" s="35"/>
      <c r="W4" s="35"/>
      <c r="X4" s="35"/>
      <c r="Y4" s="35"/>
      <c r="Z4" s="35">
        <v>1.2E-2</v>
      </c>
      <c r="AA4" s="35">
        <v>0.01</v>
      </c>
      <c r="AB4" s="35"/>
      <c r="AC4" s="35"/>
      <c r="AD4" s="35"/>
      <c r="AE4" s="35"/>
      <c r="AF4" s="35"/>
      <c r="AG4" s="35"/>
      <c r="AH4" s="36"/>
      <c r="AI4" s="40">
        <v>0.125</v>
      </c>
      <c r="AJ4" s="40">
        <v>0.112</v>
      </c>
      <c r="AK4" s="40"/>
      <c r="AL4" s="41">
        <f t="shared" ref="AL4:AL25" si="0">B4+E4+H4+K4+N4+Q4+T4+W4+Z4+AC4+AF4+AI4</f>
        <v>0.184</v>
      </c>
      <c r="AM4" s="41">
        <f t="shared" ref="AM4:AM25" si="1">C4+F4+I4+L4+O4+R4+U4+X4+AA4+AD4+AG4+AJ4</f>
        <v>0.189</v>
      </c>
      <c r="AN4" s="41">
        <f t="shared" ref="AN4:AN25" si="2">D4+G4+J4+M4+P4+S4+V4+Y4+AB4+AE4+AH4+AK4</f>
        <v>0</v>
      </c>
    </row>
    <row r="5" spans="1:40" x14ac:dyDescent="0.25">
      <c r="A5" s="34" t="s">
        <v>12</v>
      </c>
      <c r="B5" s="35"/>
      <c r="C5" s="35"/>
      <c r="D5" s="35"/>
      <c r="E5" s="35"/>
      <c r="F5" s="35"/>
      <c r="G5" s="35"/>
      <c r="H5" s="35">
        <v>2.2240000000000002</v>
      </c>
      <c r="I5" s="35">
        <v>20.263000000000002</v>
      </c>
      <c r="J5" s="35"/>
      <c r="K5" s="35"/>
      <c r="L5" s="36"/>
      <c r="M5" s="37"/>
      <c r="N5" s="38"/>
      <c r="O5" s="39"/>
      <c r="P5" s="35"/>
      <c r="Q5" s="35">
        <v>2.4590000000000001</v>
      </c>
      <c r="R5" s="35">
        <v>13.218999999999999</v>
      </c>
      <c r="S5" s="35"/>
      <c r="T5" s="35">
        <v>5.05</v>
      </c>
      <c r="U5" s="35">
        <v>39.473999999999997</v>
      </c>
      <c r="V5" s="35"/>
      <c r="W5" s="35"/>
      <c r="X5" s="35"/>
      <c r="Y5" s="35"/>
      <c r="Z5" s="35">
        <v>0.51600000000000001</v>
      </c>
      <c r="AA5" s="35"/>
      <c r="AB5" s="35">
        <f>21.2076923076923/130</f>
        <v>0.16313609467455617</v>
      </c>
      <c r="AC5" s="35">
        <v>1.034</v>
      </c>
      <c r="AD5" s="35">
        <v>11.18</v>
      </c>
      <c r="AE5" s="35"/>
      <c r="AF5" s="35"/>
      <c r="AG5" s="35"/>
      <c r="AH5" s="35"/>
      <c r="AI5" s="42">
        <v>3.1040000000000001</v>
      </c>
      <c r="AJ5" s="42">
        <v>19.183</v>
      </c>
      <c r="AK5" s="43"/>
      <c r="AL5" s="41">
        <f t="shared" si="0"/>
        <v>14.387</v>
      </c>
      <c r="AM5" s="41">
        <f t="shared" si="1"/>
        <v>103.31899999999999</v>
      </c>
      <c r="AN5" s="41">
        <f t="shared" si="2"/>
        <v>0.16313609467455617</v>
      </c>
    </row>
    <row r="6" spans="1:40" ht="15.75" x14ac:dyDescent="0.25">
      <c r="A6" s="49" t="s">
        <v>194</v>
      </c>
      <c r="B6" s="7">
        <v>4.5999999999999999E-3</v>
      </c>
      <c r="C6" s="7"/>
      <c r="D6" s="7">
        <f>0.644444444444444/180</f>
        <v>3.5802469135802445E-3</v>
      </c>
      <c r="E6" s="7"/>
      <c r="F6" s="7"/>
      <c r="G6" s="7"/>
      <c r="H6" s="7"/>
      <c r="I6" s="7"/>
      <c r="J6" s="7"/>
      <c r="K6" s="7">
        <v>4.0000000000000001E-3</v>
      </c>
      <c r="L6" s="7"/>
      <c r="M6" s="7">
        <f>0.502857142857143/175</f>
        <v>2.8734693877551028E-3</v>
      </c>
      <c r="N6" s="7"/>
      <c r="O6" s="7"/>
      <c r="P6" s="7"/>
      <c r="Q6" s="7"/>
      <c r="R6" s="7"/>
      <c r="S6" s="7"/>
      <c r="T6" s="7">
        <v>0.01</v>
      </c>
      <c r="U6" s="7">
        <v>9.7999999999999997E-3</v>
      </c>
      <c r="V6" s="7"/>
      <c r="W6" s="7"/>
      <c r="X6" s="7"/>
      <c r="Y6" s="7"/>
      <c r="Z6" s="7">
        <v>4.4999999999999997E-3</v>
      </c>
      <c r="AA6" s="7"/>
      <c r="AB6" s="7">
        <f>0.715384615384615/130</f>
        <v>5.5029585798816536E-3</v>
      </c>
      <c r="AC6" s="7"/>
      <c r="AD6" s="7"/>
      <c r="AE6" s="7"/>
      <c r="AF6" s="7"/>
      <c r="AG6" s="7"/>
      <c r="AH6" s="7"/>
      <c r="AI6" s="7"/>
      <c r="AJ6" s="7"/>
      <c r="AK6" s="7"/>
      <c r="AL6" s="41">
        <f t="shared" si="0"/>
        <v>2.3099999999999999E-2</v>
      </c>
      <c r="AM6" s="41">
        <f t="shared" si="1"/>
        <v>9.7999999999999997E-3</v>
      </c>
      <c r="AN6" s="41">
        <f t="shared" si="2"/>
        <v>1.1956674881217001E-2</v>
      </c>
    </row>
    <row r="7" spans="1:40" x14ac:dyDescent="0.25">
      <c r="A7" s="34" t="s">
        <v>14</v>
      </c>
      <c r="B7" s="35">
        <v>6.3E-2</v>
      </c>
      <c r="C7" s="35">
        <v>0.41599999999999998</v>
      </c>
      <c r="D7" s="35">
        <f>0.622222222222222/180</f>
        <v>3.456790123456789E-3</v>
      </c>
      <c r="E7" s="35">
        <v>9.2999999999999999E-2</v>
      </c>
      <c r="F7" s="35">
        <v>0.61399999999999999</v>
      </c>
      <c r="G7" s="35">
        <f>0.728571428571429/210</f>
        <v>3.469387755102043E-3</v>
      </c>
      <c r="H7" s="35">
        <v>0.123</v>
      </c>
      <c r="I7" s="35">
        <v>0.81200000000000006</v>
      </c>
      <c r="J7" s="35">
        <f>1.16111111111111/180</f>
        <v>6.4506172839506118E-3</v>
      </c>
      <c r="K7" s="35">
        <v>0.60599999999999998</v>
      </c>
      <c r="L7" s="36">
        <v>4</v>
      </c>
      <c r="M7" s="37">
        <f>5.85714285714286/175</f>
        <v>3.346938775510206E-2</v>
      </c>
      <c r="N7" s="38">
        <v>0.21</v>
      </c>
      <c r="O7" s="39">
        <v>1.3859999999999999</v>
      </c>
      <c r="P7" s="35">
        <f>4.525/80</f>
        <v>5.6562500000000002E-2</v>
      </c>
      <c r="Q7" s="35">
        <v>0.183</v>
      </c>
      <c r="R7" s="35">
        <v>1.208</v>
      </c>
      <c r="S7" s="35">
        <f>1.72777777777778/180</f>
        <v>9.5987654320987791E-3</v>
      </c>
      <c r="T7" s="35">
        <v>0.45300000000000001</v>
      </c>
      <c r="U7" s="35">
        <v>2.99</v>
      </c>
      <c r="V7" s="35">
        <f>4.27777777777778/180</f>
        <v>2.3765432098765447E-2</v>
      </c>
      <c r="W7" s="35">
        <v>0.36299999999999999</v>
      </c>
      <c r="X7" s="35">
        <v>2.496</v>
      </c>
      <c r="Y7" s="35">
        <f>4.74615384615385/130</f>
        <v>3.6508875739645001E-2</v>
      </c>
      <c r="Z7" s="35">
        <v>0.30599999999999999</v>
      </c>
      <c r="AA7" s="35">
        <v>2.02</v>
      </c>
      <c r="AB7" s="35">
        <f>3.96153846153846/130</f>
        <v>3.0473372781065076E-2</v>
      </c>
      <c r="AC7" s="35">
        <v>0.5</v>
      </c>
      <c r="AD7" s="35">
        <v>2.6</v>
      </c>
      <c r="AE7" s="35">
        <f>0.0069/180</f>
        <v>3.8333333333333334E-5</v>
      </c>
      <c r="AF7" s="35"/>
      <c r="AG7" s="35"/>
      <c r="AH7" s="35"/>
      <c r="AI7" s="35">
        <v>0.63</v>
      </c>
      <c r="AJ7" s="35">
        <v>4.258</v>
      </c>
      <c r="AK7" s="40">
        <f>5.42222222222222/180</f>
        <v>3.0123456790123442E-2</v>
      </c>
      <c r="AL7" s="41">
        <f t="shared" si="0"/>
        <v>3.5300000000000002</v>
      </c>
      <c r="AM7" s="41">
        <f t="shared" si="1"/>
        <v>22.8</v>
      </c>
      <c r="AN7" s="41">
        <f t="shared" si="2"/>
        <v>0.23391691909264259</v>
      </c>
    </row>
    <row r="8" spans="1:40" ht="15.75" x14ac:dyDescent="0.25">
      <c r="A8" s="1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8.5000000000000006E-2</v>
      </c>
      <c r="O8" s="7"/>
      <c r="P8" s="7">
        <f>2.0665/80</f>
        <v>2.583125E-2</v>
      </c>
      <c r="Q8" s="7">
        <v>0.113</v>
      </c>
      <c r="R8" s="7">
        <v>0.317</v>
      </c>
      <c r="S8" s="7"/>
      <c r="T8" s="7">
        <v>0.86499999999999999</v>
      </c>
      <c r="U8" s="7">
        <v>11.576000000000001</v>
      </c>
      <c r="V8" s="7"/>
      <c r="W8" s="7"/>
      <c r="X8" s="7"/>
      <c r="Y8" s="7"/>
      <c r="Z8" s="7">
        <v>0.1</v>
      </c>
      <c r="AA8" s="7">
        <v>0.112</v>
      </c>
      <c r="AB8" s="7">
        <f>0.697038461538461/130</f>
        <v>5.3618343195266233E-3</v>
      </c>
      <c r="AC8" s="7">
        <v>0.13200000000000001</v>
      </c>
      <c r="AD8" s="7">
        <v>0.59599999999999997</v>
      </c>
      <c r="AE8" s="7"/>
      <c r="AF8" s="7"/>
      <c r="AG8" s="7"/>
      <c r="AH8" s="7"/>
      <c r="AI8" s="7">
        <v>0.13200000000000001</v>
      </c>
      <c r="AJ8" s="7">
        <v>1.08</v>
      </c>
      <c r="AK8" s="7"/>
      <c r="AL8" s="41">
        <f t="shared" si="0"/>
        <v>1.427</v>
      </c>
      <c r="AM8" s="41">
        <f t="shared" si="1"/>
        <v>13.681000000000001</v>
      </c>
      <c r="AN8" s="41">
        <f t="shared" si="2"/>
        <v>3.1193084319526623E-2</v>
      </c>
    </row>
    <row r="9" spans="1:40" x14ac:dyDescent="0.25">
      <c r="A9" s="34" t="s">
        <v>186</v>
      </c>
      <c r="B9" s="35"/>
      <c r="C9" s="35"/>
      <c r="D9" s="35"/>
      <c r="E9" s="35"/>
      <c r="F9" s="35"/>
      <c r="G9" s="35"/>
      <c r="H9" s="35">
        <v>0.28399999999999997</v>
      </c>
      <c r="I9" s="35">
        <v>1.038</v>
      </c>
      <c r="J9" s="35"/>
      <c r="K9" s="35"/>
      <c r="L9" s="36"/>
      <c r="M9" s="37"/>
      <c r="N9" s="38">
        <v>1.7909999999999999</v>
      </c>
      <c r="O9" s="39">
        <v>5.9939999999999998</v>
      </c>
      <c r="P9" s="35"/>
      <c r="Q9" s="35">
        <v>4.3999999999999997E-2</v>
      </c>
      <c r="R9" s="35">
        <v>8.7999999999999995E-2</v>
      </c>
      <c r="S9" s="35"/>
      <c r="T9" s="35">
        <v>4.0069999999999997</v>
      </c>
      <c r="U9" s="35">
        <v>29.27</v>
      </c>
      <c r="V9" s="35"/>
      <c r="W9" s="35"/>
      <c r="X9" s="35"/>
      <c r="Y9" s="35"/>
      <c r="Z9" s="35">
        <v>1.05</v>
      </c>
      <c r="AA9" s="35">
        <v>2.9039999999999999</v>
      </c>
      <c r="AB9" s="35"/>
      <c r="AC9" s="35">
        <v>1.498</v>
      </c>
      <c r="AD9" s="35">
        <v>5.9009999999999998</v>
      </c>
      <c r="AE9" s="35"/>
      <c r="AF9" s="35"/>
      <c r="AG9" s="35"/>
      <c r="AH9" s="35"/>
      <c r="AI9" s="35">
        <v>2.2869999999999999</v>
      </c>
      <c r="AJ9" s="35">
        <v>4.8339999999999996</v>
      </c>
      <c r="AK9" s="40"/>
      <c r="AL9" s="41">
        <f t="shared" si="0"/>
        <v>10.960999999999999</v>
      </c>
      <c r="AM9" s="41">
        <f t="shared" si="1"/>
        <v>50.028999999999996</v>
      </c>
      <c r="AN9" s="41">
        <f t="shared" si="2"/>
        <v>0</v>
      </c>
    </row>
    <row r="10" spans="1:40" x14ac:dyDescent="0.25">
      <c r="A10" s="34" t="s">
        <v>16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7"/>
      <c r="N10" s="38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40"/>
      <c r="AL10" s="41">
        <f t="shared" si="0"/>
        <v>0</v>
      </c>
      <c r="AM10" s="41">
        <f t="shared" si="1"/>
        <v>0</v>
      </c>
      <c r="AN10" s="41">
        <f t="shared" si="2"/>
        <v>0</v>
      </c>
    </row>
    <row r="11" spans="1:40" x14ac:dyDescent="0.25">
      <c r="A11" s="34" t="s">
        <v>17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37"/>
      <c r="N11" s="38"/>
      <c r="O11" s="39"/>
      <c r="P11" s="35"/>
      <c r="Q11" s="35"/>
      <c r="R11" s="35"/>
      <c r="S11" s="35"/>
      <c r="T11" s="35">
        <v>2E-3</v>
      </c>
      <c r="U11" s="35">
        <v>1.6E-2</v>
      </c>
      <c r="V11" s="35"/>
      <c r="W11" s="35"/>
      <c r="X11" s="35"/>
      <c r="Y11" s="35"/>
      <c r="Z11" s="35">
        <v>2E-3</v>
      </c>
      <c r="AA11" s="35">
        <v>1.4E-2</v>
      </c>
      <c r="AB11" s="35"/>
      <c r="AC11" s="35"/>
      <c r="AD11" s="35"/>
      <c r="AE11" s="35"/>
      <c r="AF11" s="35"/>
      <c r="AG11" s="35"/>
      <c r="AH11" s="35"/>
      <c r="AI11" s="35"/>
      <c r="AJ11" s="35"/>
      <c r="AK11" s="40"/>
      <c r="AL11" s="41">
        <f t="shared" si="0"/>
        <v>4.0000000000000001E-3</v>
      </c>
      <c r="AM11" s="41">
        <f t="shared" si="1"/>
        <v>0.03</v>
      </c>
      <c r="AN11" s="41">
        <f t="shared" si="2"/>
        <v>0</v>
      </c>
    </row>
    <row r="12" spans="1:40" x14ac:dyDescent="0.25">
      <c r="A12" s="34" t="s">
        <v>18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8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40"/>
      <c r="AL12" s="41">
        <f t="shared" si="0"/>
        <v>0</v>
      </c>
      <c r="AM12" s="41">
        <f t="shared" si="1"/>
        <v>0</v>
      </c>
      <c r="AN12" s="41">
        <f t="shared" si="2"/>
        <v>0</v>
      </c>
    </row>
    <row r="13" spans="1:40" x14ac:dyDescent="0.25">
      <c r="A13" s="34" t="s">
        <v>19</v>
      </c>
      <c r="B13" s="35">
        <v>3.0000000000000001E-3</v>
      </c>
      <c r="C13" s="35"/>
      <c r="D13" s="35">
        <f>0.00555555555555556/180</f>
        <v>3.0864197530864225E-5</v>
      </c>
      <c r="E13" s="35"/>
      <c r="F13" s="35"/>
      <c r="G13" s="35"/>
      <c r="H13" s="35"/>
      <c r="I13" s="35"/>
      <c r="J13" s="35"/>
      <c r="K13" s="35">
        <v>1E-3</v>
      </c>
      <c r="L13" s="36"/>
      <c r="M13" s="37">
        <f>0.114285714285714/175</f>
        <v>6.5306122448979429E-4</v>
      </c>
      <c r="N13" s="38"/>
      <c r="O13" s="39"/>
      <c r="P13" s="35"/>
      <c r="Q13" s="35"/>
      <c r="R13" s="35">
        <v>6.0000000000000001E-3</v>
      </c>
      <c r="S13" s="35"/>
      <c r="T13" s="35">
        <v>4.0000000000000001E-3</v>
      </c>
      <c r="U13" s="35">
        <v>2.1999999999999999E-2</v>
      </c>
      <c r="V13" s="35"/>
      <c r="W13" s="35">
        <v>1E-3</v>
      </c>
      <c r="X13" s="35"/>
      <c r="Y13" s="35"/>
      <c r="Z13" s="35"/>
      <c r="AA13" s="35"/>
      <c r="AB13" s="35"/>
      <c r="AC13" s="35"/>
      <c r="AD13" s="35">
        <v>2E-3</v>
      </c>
      <c r="AE13" s="35"/>
      <c r="AF13" s="35"/>
      <c r="AG13" s="35"/>
      <c r="AH13" s="35"/>
      <c r="AI13" s="35">
        <v>3.0000000000000001E-3</v>
      </c>
      <c r="AJ13" s="35">
        <v>3.0000000000000001E-3</v>
      </c>
      <c r="AK13" s="40"/>
      <c r="AL13" s="41">
        <f t="shared" si="0"/>
        <v>1.2E-2</v>
      </c>
      <c r="AM13" s="41">
        <f t="shared" si="1"/>
        <v>3.3000000000000002E-2</v>
      </c>
      <c r="AN13" s="41">
        <f t="shared" si="2"/>
        <v>6.8392542202065849E-4</v>
      </c>
    </row>
    <row r="14" spans="1:40" x14ac:dyDescent="0.25">
      <c r="A14" s="34" t="s">
        <v>20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8"/>
      <c r="O14" s="39"/>
      <c r="P14" s="35"/>
      <c r="Q14" s="35"/>
      <c r="R14" s="35"/>
      <c r="S14" s="35"/>
      <c r="T14" s="35">
        <v>7.22</v>
      </c>
      <c r="U14" s="35">
        <v>68.930000000000007</v>
      </c>
      <c r="V14" s="35"/>
      <c r="W14" s="35"/>
      <c r="X14" s="35"/>
      <c r="Y14" s="35"/>
      <c r="Z14" s="35">
        <v>4.12</v>
      </c>
      <c r="AA14" s="35">
        <v>37.36</v>
      </c>
      <c r="AB14" s="35"/>
      <c r="AC14" s="35"/>
      <c r="AD14" s="35"/>
      <c r="AE14" s="35"/>
      <c r="AF14" s="35"/>
      <c r="AG14" s="35"/>
      <c r="AH14" s="35"/>
      <c r="AI14" s="35">
        <v>5.96</v>
      </c>
      <c r="AJ14" s="35">
        <v>57.31</v>
      </c>
      <c r="AK14" s="40"/>
      <c r="AL14" s="41">
        <f t="shared" si="0"/>
        <v>17.3</v>
      </c>
      <c r="AM14" s="41">
        <f t="shared" si="1"/>
        <v>163.60000000000002</v>
      </c>
      <c r="AN14" s="41">
        <f t="shared" si="2"/>
        <v>0</v>
      </c>
    </row>
    <row r="15" spans="1:40" x14ac:dyDescent="0.25">
      <c r="A15" s="34" t="s">
        <v>21</v>
      </c>
      <c r="B15" s="35"/>
      <c r="C15" s="35"/>
      <c r="D15" s="35"/>
      <c r="E15" s="35"/>
      <c r="F15" s="35"/>
      <c r="G15" s="35"/>
      <c r="H15" s="35">
        <v>0.03</v>
      </c>
      <c r="I15" s="35">
        <v>0.04</v>
      </c>
      <c r="J15" s="35">
        <f>0.133333333333333/180</f>
        <v>7.4074074074073886E-4</v>
      </c>
      <c r="K15" s="35">
        <v>0.02</v>
      </c>
      <c r="L15" s="36"/>
      <c r="M15" s="37">
        <f>0.137142857142857/175</f>
        <v>7.8367346938775439E-4</v>
      </c>
      <c r="N15" s="38">
        <v>0.21</v>
      </c>
      <c r="O15" s="39"/>
      <c r="P15" s="35">
        <f>2.4/80</f>
        <v>0.03</v>
      </c>
      <c r="Q15" s="35"/>
      <c r="R15" s="35"/>
      <c r="S15" s="35"/>
      <c r="T15" s="35">
        <v>5.38</v>
      </c>
      <c r="U15" s="35">
        <v>62.34</v>
      </c>
      <c r="V15" s="35"/>
      <c r="W15" s="35"/>
      <c r="X15" s="35"/>
      <c r="Y15" s="35"/>
      <c r="Z15" s="35">
        <v>0.24</v>
      </c>
      <c r="AA15" s="35">
        <v>0.46</v>
      </c>
      <c r="AB15" s="35">
        <f>1.67692307692308/130</f>
        <v>1.2899408284023693E-2</v>
      </c>
      <c r="AC15" s="35">
        <v>0.09</v>
      </c>
      <c r="AD15" s="35"/>
      <c r="AE15" s="35"/>
      <c r="AF15" s="35"/>
      <c r="AG15" s="35"/>
      <c r="AH15" s="35"/>
      <c r="AI15" s="35">
        <v>0.1</v>
      </c>
      <c r="AJ15" s="35">
        <v>0.01</v>
      </c>
      <c r="AK15" s="40">
        <f>0.572222222222222/180</f>
        <v>3.1790123456790107E-3</v>
      </c>
      <c r="AL15" s="41">
        <f t="shared" si="0"/>
        <v>6.0699999999999994</v>
      </c>
      <c r="AM15" s="41">
        <f t="shared" si="1"/>
        <v>62.85</v>
      </c>
      <c r="AN15" s="41">
        <f t="shared" si="2"/>
        <v>4.7602834839831194E-2</v>
      </c>
    </row>
    <row r="16" spans="1:40" x14ac:dyDescent="0.25">
      <c r="A16" s="34" t="s">
        <v>22</v>
      </c>
      <c r="B16" s="35"/>
      <c r="C16" s="35"/>
      <c r="D16" s="35"/>
      <c r="E16" s="35">
        <v>5.1999999999999998E-2</v>
      </c>
      <c r="F16" s="35"/>
      <c r="G16" s="35">
        <f>2.39047619047619/210</f>
        <v>1.1383219954648523E-2</v>
      </c>
      <c r="H16" s="35">
        <v>0.29499999999999998</v>
      </c>
      <c r="I16" s="35">
        <v>7.6</v>
      </c>
      <c r="J16" s="35">
        <f>4.65/180</f>
        <v>2.5833333333333337E-2</v>
      </c>
      <c r="K16" s="35">
        <v>6.0000000000000001E-3</v>
      </c>
      <c r="L16" s="36"/>
      <c r="M16" s="37">
        <f>0.434285714285714/175</f>
        <v>2.4816326530612228E-3</v>
      </c>
      <c r="N16" s="38">
        <v>8.3000000000000004E-2</v>
      </c>
      <c r="O16" s="39"/>
      <c r="P16" s="35">
        <f>1.9625/80</f>
        <v>2.4531249999999998E-2</v>
      </c>
      <c r="Q16" s="35"/>
      <c r="R16" s="35"/>
      <c r="S16" s="35"/>
      <c r="T16" s="35">
        <v>0.223</v>
      </c>
      <c r="U16" s="35">
        <v>19.605</v>
      </c>
      <c r="V16" s="35"/>
      <c r="W16" s="35"/>
      <c r="X16" s="35"/>
      <c r="Y16" s="35"/>
      <c r="Z16" s="35">
        <v>3.5999999999999997E-2</v>
      </c>
      <c r="AA16" s="35"/>
      <c r="AB16" s="35"/>
      <c r="AC16" s="35"/>
      <c r="AD16" s="35"/>
      <c r="AE16" s="35"/>
      <c r="AF16" s="35"/>
      <c r="AG16" s="35"/>
      <c r="AH16" s="35"/>
      <c r="AI16" s="35">
        <v>0.107</v>
      </c>
      <c r="AJ16" s="35"/>
      <c r="AK16" s="40">
        <f>2.11666666666667/180</f>
        <v>1.1759259259259277E-2</v>
      </c>
      <c r="AL16" s="41">
        <f t="shared" si="0"/>
        <v>0.80200000000000005</v>
      </c>
      <c r="AM16" s="41">
        <f t="shared" si="1"/>
        <v>27.204999999999998</v>
      </c>
      <c r="AN16" s="41">
        <f t="shared" si="2"/>
        <v>7.5988695200302353E-2</v>
      </c>
    </row>
    <row r="17" spans="1:40" x14ac:dyDescent="0.25">
      <c r="A17" s="34" t="s">
        <v>23</v>
      </c>
      <c r="B17" s="35"/>
      <c r="C17" s="35"/>
      <c r="D17" s="35"/>
      <c r="E17" s="35">
        <v>4.0000000000000001E-3</v>
      </c>
      <c r="F17" s="35"/>
      <c r="G17" s="35"/>
      <c r="H17" s="35">
        <v>4.0000000000000001E-3</v>
      </c>
      <c r="I17" s="35">
        <v>1E-3</v>
      </c>
      <c r="J17" s="35"/>
      <c r="K17" s="35">
        <v>3.0000000000000001E-3</v>
      </c>
      <c r="L17" s="36"/>
      <c r="M17" s="37"/>
      <c r="N17" s="38">
        <v>3.4000000000000002E-2</v>
      </c>
      <c r="O17" s="39"/>
      <c r="P17" s="35"/>
      <c r="Q17" s="35"/>
      <c r="R17" s="35"/>
      <c r="S17" s="35"/>
      <c r="T17" s="35">
        <v>0.33100000000000002</v>
      </c>
      <c r="U17" s="35">
        <v>0.26300000000000001</v>
      </c>
      <c r="V17" s="35"/>
      <c r="W17" s="35"/>
      <c r="X17" s="35"/>
      <c r="Y17" s="35"/>
      <c r="Z17" s="35">
        <v>1.9E-2</v>
      </c>
      <c r="AA17" s="35">
        <v>1.4999999999999999E-2</v>
      </c>
      <c r="AB17" s="35"/>
      <c r="AC17" s="35">
        <v>1E-3</v>
      </c>
      <c r="AD17" s="35"/>
      <c r="AE17" s="35"/>
      <c r="AF17" s="35">
        <v>1.7999999999999999E-2</v>
      </c>
      <c r="AG17" s="35"/>
      <c r="AH17" s="35"/>
      <c r="AI17" s="35">
        <v>4.4999999999999998E-2</v>
      </c>
      <c r="AJ17" s="35">
        <v>6.7000000000000004E-2</v>
      </c>
      <c r="AK17" s="40"/>
      <c r="AL17" s="41">
        <f t="shared" si="0"/>
        <v>0.45900000000000002</v>
      </c>
      <c r="AM17" s="41">
        <f t="shared" si="1"/>
        <v>0.34600000000000003</v>
      </c>
      <c r="AN17" s="41">
        <f t="shared" si="2"/>
        <v>0</v>
      </c>
    </row>
    <row r="18" spans="1:40" x14ac:dyDescent="0.25">
      <c r="A18" s="34" t="s">
        <v>24</v>
      </c>
      <c r="B18" s="35"/>
      <c r="C18" s="35"/>
      <c r="D18" s="35">
        <v>0</v>
      </c>
      <c r="E18" s="35"/>
      <c r="F18" s="35"/>
      <c r="G18" s="35"/>
      <c r="H18" s="35"/>
      <c r="I18" s="35"/>
      <c r="J18" s="35"/>
      <c r="K18" s="35"/>
      <c r="L18" s="36"/>
      <c r="M18" s="37">
        <v>0</v>
      </c>
      <c r="N18" s="38"/>
      <c r="O18" s="39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>
        <v>1.6</v>
      </c>
      <c r="AJ18" s="35">
        <v>22.026</v>
      </c>
      <c r="AK18" s="40">
        <f>52.8111111111111/180</f>
        <v>0.29339506172839502</v>
      </c>
      <c r="AL18" s="41">
        <f t="shared" si="0"/>
        <v>1.6</v>
      </c>
      <c r="AM18" s="41">
        <f t="shared" si="1"/>
        <v>22.026</v>
      </c>
      <c r="AN18" s="41">
        <f t="shared" si="2"/>
        <v>0.29339506172839502</v>
      </c>
    </row>
    <row r="19" spans="1:40" x14ac:dyDescent="0.25">
      <c r="A19" s="34" t="s">
        <v>25</v>
      </c>
      <c r="B19" s="35"/>
      <c r="C19" s="35"/>
      <c r="D19" s="35">
        <f>0.0555555555555556/180</f>
        <v>3.0864197530864224E-4</v>
      </c>
      <c r="E19" s="35"/>
      <c r="F19" s="35"/>
      <c r="G19" s="35">
        <f>0.380952380952381/210</f>
        <v>1.8140589569160999E-3</v>
      </c>
      <c r="H19" s="35">
        <v>5.0999999999999996</v>
      </c>
      <c r="I19" s="35">
        <v>61.2</v>
      </c>
      <c r="J19" s="35"/>
      <c r="K19" s="35"/>
      <c r="L19" s="36"/>
      <c r="M19" s="37">
        <f>2.02285714285714/175</f>
        <v>1.1559183673469371E-2</v>
      </c>
      <c r="N19" s="38">
        <v>0.2</v>
      </c>
      <c r="O19" s="39"/>
      <c r="P19" s="35">
        <f>5.3625/80</f>
        <v>6.7031250000000001E-2</v>
      </c>
      <c r="Q19" s="35">
        <v>6.3</v>
      </c>
      <c r="R19" s="35">
        <v>38.6</v>
      </c>
      <c r="S19" s="35"/>
      <c r="T19" s="35">
        <v>9.4</v>
      </c>
      <c r="U19" s="35">
        <v>77.2</v>
      </c>
      <c r="V19" s="35"/>
      <c r="W19" s="35"/>
      <c r="X19" s="35"/>
      <c r="Y19" s="35"/>
      <c r="Z19" s="35">
        <v>3</v>
      </c>
      <c r="AA19" s="35"/>
      <c r="AB19" s="35">
        <f>57.0230769230769/130</f>
        <v>0.43863905325443769</v>
      </c>
      <c r="AC19" s="35">
        <v>2.1</v>
      </c>
      <c r="AD19" s="35">
        <v>14.7</v>
      </c>
      <c r="AE19" s="35">
        <f>5.92777777777778/180</f>
        <v>3.2932098765432113E-2</v>
      </c>
      <c r="AF19" s="35"/>
      <c r="AG19" s="35"/>
      <c r="AH19" s="35"/>
      <c r="AI19" s="35">
        <v>4.8</v>
      </c>
      <c r="AJ19" s="35">
        <v>28.3</v>
      </c>
      <c r="AK19" s="40"/>
      <c r="AL19" s="41">
        <f t="shared" si="0"/>
        <v>30.900000000000002</v>
      </c>
      <c r="AM19" s="41">
        <f t="shared" si="1"/>
        <v>220</v>
      </c>
      <c r="AN19" s="41">
        <f t="shared" si="2"/>
        <v>0.55228428662556395</v>
      </c>
    </row>
    <row r="20" spans="1:40" x14ac:dyDescent="0.25">
      <c r="A20" s="34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8"/>
      <c r="O20" s="39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>
        <f>0.1363+13.2385</f>
        <v>13.3748</v>
      </c>
      <c r="AJ20" s="35">
        <v>5.246E-2</v>
      </c>
      <c r="AK20" s="35">
        <f>5915.51824/180</f>
        <v>32.863990222222228</v>
      </c>
      <c r="AL20" s="41">
        <f t="shared" si="0"/>
        <v>13.3748</v>
      </c>
      <c r="AM20" s="41">
        <f t="shared" si="1"/>
        <v>5.246E-2</v>
      </c>
      <c r="AN20" s="41">
        <f t="shared" si="2"/>
        <v>32.863990222222228</v>
      </c>
    </row>
    <row r="21" spans="1:40" x14ac:dyDescent="0.25">
      <c r="A21" s="34" t="s">
        <v>55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  <c r="M21" s="37"/>
      <c r="N21" s="38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40"/>
      <c r="AL21" s="41">
        <f t="shared" si="0"/>
        <v>0</v>
      </c>
      <c r="AM21" s="41">
        <f t="shared" si="1"/>
        <v>0</v>
      </c>
      <c r="AN21" s="41">
        <f t="shared" si="2"/>
        <v>0</v>
      </c>
    </row>
    <row r="22" spans="1:40" x14ac:dyDescent="0.25">
      <c r="A22" s="34" t="s">
        <v>27</v>
      </c>
      <c r="B22" s="35"/>
      <c r="C22" s="35"/>
      <c r="D22" s="35"/>
      <c r="E22" s="35"/>
      <c r="F22" s="35"/>
      <c r="G22" s="35"/>
      <c r="H22" s="35">
        <v>0.84</v>
      </c>
      <c r="I22" s="35">
        <v>11</v>
      </c>
      <c r="J22" s="35"/>
      <c r="K22" s="35"/>
      <c r="L22" s="36"/>
      <c r="M22" s="37"/>
      <c r="N22" s="38">
        <v>1.9990000000000001</v>
      </c>
      <c r="O22" s="39">
        <v>38</v>
      </c>
      <c r="P22" s="35"/>
      <c r="Q22" s="35"/>
      <c r="R22" s="35"/>
      <c r="S22" s="35"/>
      <c r="T22" s="35">
        <v>8.1430000000000007</v>
      </c>
      <c r="U22" s="35">
        <v>89</v>
      </c>
      <c r="V22" s="35"/>
      <c r="W22" s="35"/>
      <c r="X22" s="35"/>
      <c r="Y22" s="35"/>
      <c r="Z22" s="35">
        <v>2.4279999999999999</v>
      </c>
      <c r="AA22" s="35">
        <v>14</v>
      </c>
      <c r="AB22" s="35"/>
      <c r="AC22" s="35">
        <v>0.27400000000000002</v>
      </c>
      <c r="AD22" s="35">
        <v>1</v>
      </c>
      <c r="AE22" s="35"/>
      <c r="AF22" s="35"/>
      <c r="AG22" s="35"/>
      <c r="AH22" s="35"/>
      <c r="AI22" s="35">
        <v>4.0659999999999998</v>
      </c>
      <c r="AJ22" s="35">
        <v>53</v>
      </c>
      <c r="AK22" s="40"/>
      <c r="AL22" s="41">
        <f t="shared" si="0"/>
        <v>17.75</v>
      </c>
      <c r="AM22" s="41">
        <f t="shared" si="1"/>
        <v>206</v>
      </c>
      <c r="AN22" s="41">
        <f t="shared" si="2"/>
        <v>0</v>
      </c>
    </row>
    <row r="23" spans="1:40" ht="15.75" x14ac:dyDescent="0.25">
      <c r="A23" s="1" t="s">
        <v>28</v>
      </c>
      <c r="B23" s="27"/>
      <c r="C23" s="27"/>
      <c r="D23" s="27"/>
      <c r="E23" s="27"/>
      <c r="F23" s="27"/>
      <c r="G23" s="27"/>
      <c r="H23" s="27">
        <v>0.47</v>
      </c>
      <c r="I23" s="27">
        <v>1.54</v>
      </c>
      <c r="J23" s="27"/>
      <c r="K23" s="27">
        <v>0.01</v>
      </c>
      <c r="L23" s="27"/>
      <c r="M23" s="27"/>
      <c r="N23" s="27">
        <v>0.43</v>
      </c>
      <c r="O23" s="27">
        <v>1.94</v>
      </c>
      <c r="P23" s="27"/>
      <c r="Q23" s="27">
        <v>0.12</v>
      </c>
      <c r="R23" s="27">
        <v>0.53</v>
      </c>
      <c r="S23" s="27"/>
      <c r="T23" s="27">
        <v>3.76</v>
      </c>
      <c r="U23" s="27">
        <v>23.82</v>
      </c>
      <c r="V23" s="27"/>
      <c r="W23" s="27"/>
      <c r="X23" s="27"/>
      <c r="Y23" s="27"/>
      <c r="Z23" s="27">
        <v>1.21</v>
      </c>
      <c r="AA23" s="27">
        <v>6.99</v>
      </c>
      <c r="AB23" s="27"/>
      <c r="AC23" s="27">
        <v>0.45</v>
      </c>
      <c r="AD23" s="27">
        <v>2.1800000000000002</v>
      </c>
      <c r="AE23" s="27"/>
      <c r="AF23" s="27"/>
      <c r="AG23" s="27"/>
      <c r="AH23" s="27"/>
      <c r="AI23" s="27">
        <v>0.8</v>
      </c>
      <c r="AJ23" s="27">
        <v>1.53</v>
      </c>
      <c r="AK23" s="27"/>
      <c r="AL23" s="41">
        <f t="shared" si="0"/>
        <v>7.2499999999999991</v>
      </c>
      <c r="AM23" s="41">
        <f t="shared" si="1"/>
        <v>38.53</v>
      </c>
      <c r="AN23" s="41">
        <f t="shared" si="2"/>
        <v>0</v>
      </c>
    </row>
    <row r="24" spans="1:40" x14ac:dyDescent="0.25">
      <c r="A24" s="44" t="s">
        <v>29</v>
      </c>
      <c r="B24" s="35"/>
      <c r="C24" s="35"/>
      <c r="D24" s="35"/>
      <c r="E24" s="35">
        <v>1.6E-2</v>
      </c>
      <c r="F24" s="35"/>
      <c r="G24" s="35"/>
      <c r="H24" s="35"/>
      <c r="I24" s="35"/>
      <c r="J24" s="35"/>
      <c r="K24" s="35">
        <v>0.03</v>
      </c>
      <c r="L24" s="36"/>
      <c r="M24" s="37"/>
      <c r="N24" s="38">
        <v>8.0000000000000002E-3</v>
      </c>
      <c r="O24" s="39"/>
      <c r="P24" s="35"/>
      <c r="Q24" s="35"/>
      <c r="R24" s="35"/>
      <c r="S24" s="35"/>
      <c r="T24" s="35">
        <v>0.24</v>
      </c>
      <c r="U24" s="35">
        <v>0.128</v>
      </c>
      <c r="V24" s="35"/>
      <c r="W24" s="35">
        <v>2.9000000000000001E-2</v>
      </c>
      <c r="X24" s="35"/>
      <c r="Y24" s="35"/>
      <c r="Z24" s="35">
        <v>4.9000000000000002E-2</v>
      </c>
      <c r="AA24" s="35">
        <v>1.4999999999999999E-2</v>
      </c>
      <c r="AB24" s="35"/>
      <c r="AC24" s="35">
        <v>1.7999999999999999E-2</v>
      </c>
      <c r="AD24" s="35"/>
      <c r="AE24" s="35"/>
      <c r="AF24" s="35"/>
      <c r="AG24" s="35"/>
      <c r="AH24" s="35"/>
      <c r="AI24" s="35">
        <v>0.42</v>
      </c>
      <c r="AJ24" s="35">
        <v>0.158</v>
      </c>
      <c r="AK24" s="40"/>
      <c r="AL24" s="41">
        <f t="shared" si="0"/>
        <v>0.81</v>
      </c>
      <c r="AM24" s="41">
        <f t="shared" si="1"/>
        <v>0.30100000000000005</v>
      </c>
      <c r="AN24" s="41">
        <f t="shared" si="2"/>
        <v>0</v>
      </c>
    </row>
    <row r="25" spans="1:40" x14ac:dyDescent="0.25">
      <c r="A25" s="34" t="s">
        <v>30</v>
      </c>
      <c r="B25" s="35">
        <v>2.1999999999999999E-2</v>
      </c>
      <c r="C25" s="35"/>
      <c r="D25" s="35">
        <f>0.722222222222222/180</f>
        <v>4.0123456790123442E-3</v>
      </c>
      <c r="E25" s="35">
        <v>4.0000000000000001E-3</v>
      </c>
      <c r="F25" s="35"/>
      <c r="G25" s="35">
        <f>0.380952380952381/210</f>
        <v>1.8140589569160999E-3</v>
      </c>
      <c r="H25" s="35">
        <v>4.0000000000000001E-3</v>
      </c>
      <c r="I25" s="35"/>
      <c r="J25" s="35">
        <f>0.0888888888888889/180</f>
        <v>4.9382716049382728E-4</v>
      </c>
      <c r="K25" s="35">
        <v>1.4E-2</v>
      </c>
      <c r="L25" s="36"/>
      <c r="M25" s="37">
        <f>0.914285714285714/175</f>
        <v>5.2244897959183656E-3</v>
      </c>
      <c r="N25" s="38"/>
      <c r="O25" s="39"/>
      <c r="P25" s="35"/>
      <c r="Q25" s="35"/>
      <c r="R25" s="35"/>
      <c r="S25" s="35"/>
      <c r="T25" s="35"/>
      <c r="U25" s="35"/>
      <c r="V25" s="35"/>
      <c r="W25" s="35">
        <v>1.2999999999999999E-2</v>
      </c>
      <c r="X25" s="35"/>
      <c r="Y25" s="35">
        <f>0.5/130</f>
        <v>3.8461538461538464E-3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40"/>
      <c r="AL25" s="41">
        <f t="shared" si="0"/>
        <v>5.6999999999999995E-2</v>
      </c>
      <c r="AM25" s="41">
        <f t="shared" si="1"/>
        <v>0</v>
      </c>
      <c r="AN25" s="41">
        <f t="shared" si="2"/>
        <v>1.5390875438494482E-2</v>
      </c>
    </row>
    <row r="26" spans="1:40" x14ac:dyDescent="0.25">
      <c r="A26" s="34" t="s">
        <v>31</v>
      </c>
      <c r="B26" s="35">
        <v>0.01</v>
      </c>
      <c r="D26" s="35">
        <f>0.836111111111111/180</f>
        <v>4.6450617283950611E-3</v>
      </c>
      <c r="E26" s="35">
        <v>2.5000000000000001E-2</v>
      </c>
      <c r="F26" s="35"/>
      <c r="G26" s="35">
        <f>0.11/210</f>
        <v>5.2380952380952383E-4</v>
      </c>
      <c r="H26" s="35"/>
      <c r="I26" s="35"/>
      <c r="J26" s="35"/>
      <c r="K26" s="35">
        <v>2.7E-2</v>
      </c>
      <c r="L26" s="36"/>
      <c r="M26" s="36">
        <f>0.172571428571429/175</f>
        <v>9.8612244897959426E-4</v>
      </c>
      <c r="N26" s="38">
        <v>1.2999999999999999E-2</v>
      </c>
      <c r="P26" s="39">
        <f>0.005625/80</f>
        <v>7.0312499999999995E-5</v>
      </c>
      <c r="Q26" s="35"/>
      <c r="R26" s="35"/>
      <c r="S26" s="35"/>
      <c r="T26" s="35"/>
      <c r="U26" s="35"/>
      <c r="V26" s="35"/>
      <c r="W26" s="35">
        <v>0.02</v>
      </c>
      <c r="Y26" s="35">
        <f>0.00807692307692308/130</f>
        <v>6.2130177514792921E-5</v>
      </c>
      <c r="Z26" s="35">
        <v>2.4E-2</v>
      </c>
      <c r="AB26" s="35">
        <f>0.693307692307692/130</f>
        <v>5.3331360946745534E-3</v>
      </c>
      <c r="AC26" s="35"/>
      <c r="AD26" s="35"/>
      <c r="AE26" s="35"/>
      <c r="AF26" s="35"/>
      <c r="AG26" s="35"/>
      <c r="AH26" s="35"/>
      <c r="AI26" s="35">
        <v>7.9000000000000001E-2</v>
      </c>
      <c r="AJ26" s="35">
        <v>180</v>
      </c>
      <c r="AK26" s="40"/>
      <c r="AL26" s="41">
        <f t="shared" ref="AL26:AL38" si="3">B26+E26+H26+K26+N26+Q26+T26+W26+Z26+AC26+AF26+AI26</f>
        <v>0.19800000000000001</v>
      </c>
      <c r="AM26" s="41">
        <f>D26+F26+I26+L26+P26+R26+U26+Y26+AB26+AD26+AG26+AJ26</f>
        <v>180.01011064050059</v>
      </c>
      <c r="AN26" s="41">
        <f t="shared" ref="AN26:AN38" si="4">D26+G26+J26+M26+P26+S26+V26+Y26+AB26+AE26+AH26+AK26</f>
        <v>1.1620572473373527E-2</v>
      </c>
    </row>
    <row r="27" spans="1:40" x14ac:dyDescent="0.25">
      <c r="A27" s="50" t="s">
        <v>32</v>
      </c>
      <c r="B27" s="35">
        <v>3.0000000000000001E-3</v>
      </c>
      <c r="C27" s="35"/>
      <c r="D27" s="35"/>
      <c r="E27" s="35"/>
      <c r="F27" s="35"/>
      <c r="G27" s="35"/>
      <c r="H27" s="35"/>
      <c r="I27" s="35"/>
      <c r="J27" s="35"/>
      <c r="K27" s="35">
        <v>1E-3</v>
      </c>
      <c r="L27" s="36"/>
      <c r="M27" s="37"/>
      <c r="N27" s="38"/>
      <c r="O27" s="39"/>
      <c r="P27" s="35"/>
      <c r="Q27" s="35"/>
      <c r="R27" s="35"/>
      <c r="S27" s="35"/>
      <c r="T27" s="35"/>
      <c r="U27" s="35"/>
      <c r="V27" s="35"/>
      <c r="W27" s="35">
        <v>1E-3</v>
      </c>
      <c r="X27" s="35"/>
      <c r="Y27" s="35"/>
      <c r="Z27" s="35">
        <v>2E-3</v>
      </c>
      <c r="AA27" s="35"/>
      <c r="AB27" s="35"/>
      <c r="AC27" s="35"/>
      <c r="AD27" s="35"/>
      <c r="AE27" s="35"/>
      <c r="AF27" s="35"/>
      <c r="AG27" s="35"/>
      <c r="AH27" s="35"/>
      <c r="AI27" s="35">
        <v>4.0000000000000001E-3</v>
      </c>
      <c r="AJ27" s="35"/>
      <c r="AK27" s="40"/>
      <c r="AL27" s="41">
        <f t="shared" si="3"/>
        <v>1.0999999999999999E-2</v>
      </c>
      <c r="AM27" s="41">
        <f t="shared" ref="AM27:AM38" si="5">C27+F27+I27+L27+O27+R27+U27+X27+AA27+AD27+AG27+AJ27</f>
        <v>0</v>
      </c>
      <c r="AN27" s="41">
        <f t="shared" si="4"/>
        <v>0</v>
      </c>
    </row>
    <row r="28" spans="1:40" ht="15.75" x14ac:dyDescent="0.25">
      <c r="A28" s="1" t="s">
        <v>175</v>
      </c>
      <c r="B28" s="7"/>
      <c r="C28" s="7"/>
      <c r="D28" s="7"/>
      <c r="E28" s="7"/>
      <c r="F28" s="7"/>
      <c r="G28" s="7"/>
      <c r="H28" s="7"/>
      <c r="I28" s="7"/>
      <c r="J28" s="7"/>
      <c r="K28" s="7">
        <v>8.0000000000000002E-3</v>
      </c>
      <c r="L28" s="7"/>
      <c r="M28" s="7">
        <f>0.001/175</f>
        <v>5.7142857142857145E-6</v>
      </c>
      <c r="N28" s="7">
        <v>2.37</v>
      </c>
      <c r="O28" s="7"/>
      <c r="P28" s="7">
        <f>2358.78/80</f>
        <v>29.484750000000002</v>
      </c>
      <c r="Q28" s="7"/>
      <c r="R28" s="7"/>
      <c r="S28" s="7"/>
      <c r="T28" s="7">
        <v>2.74</v>
      </c>
      <c r="U28" s="7">
        <v>24.58</v>
      </c>
      <c r="V28" s="7"/>
      <c r="W28" s="7"/>
      <c r="X28" s="7"/>
      <c r="Y28" s="7"/>
      <c r="Z28" s="7">
        <v>1.87</v>
      </c>
      <c r="AA28" s="7"/>
      <c r="AB28" s="7">
        <f>3597.64/130</f>
        <v>27.674153846153846</v>
      </c>
      <c r="AC28" s="7">
        <v>0.51</v>
      </c>
      <c r="AD28" s="7">
        <v>1.28</v>
      </c>
      <c r="AE28" s="7"/>
      <c r="AF28" s="7"/>
      <c r="AG28" s="7"/>
      <c r="AH28" s="7"/>
      <c r="AI28" s="7"/>
      <c r="AJ28" s="7"/>
      <c r="AK28" s="7"/>
      <c r="AL28" s="41">
        <f t="shared" si="3"/>
        <v>7.4980000000000002</v>
      </c>
      <c r="AM28" s="41">
        <f t="shared" si="5"/>
        <v>25.86</v>
      </c>
      <c r="AN28" s="41">
        <f t="shared" si="4"/>
        <v>57.158909560439561</v>
      </c>
    </row>
    <row r="29" spans="1:40" x14ac:dyDescent="0.25">
      <c r="A29" s="50" t="s">
        <v>165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37"/>
      <c r="N29" s="38"/>
      <c r="O29" s="39"/>
      <c r="P29" s="35"/>
      <c r="Q29" s="35">
        <v>0.03</v>
      </c>
      <c r="R29" s="35">
        <v>0.30499999999999999</v>
      </c>
      <c r="S29" s="35"/>
      <c r="T29" s="35">
        <v>0.11799999999999999</v>
      </c>
      <c r="U29" s="35">
        <v>1.0620000000000001</v>
      </c>
      <c r="V29" s="35"/>
      <c r="W29" s="35"/>
      <c r="X29" s="35"/>
      <c r="Y29" s="35"/>
      <c r="Z29" s="35">
        <v>6.0000000000000001E-3</v>
      </c>
      <c r="AA29" s="35">
        <v>3.0000000000000001E-3</v>
      </c>
      <c r="AB29" s="35"/>
      <c r="AC29" s="35">
        <v>4.0000000000000001E-3</v>
      </c>
      <c r="AD29" s="35">
        <v>2.4E-2</v>
      </c>
      <c r="AE29" s="35"/>
      <c r="AF29" s="35"/>
      <c r="AG29" s="35"/>
      <c r="AH29" s="35"/>
      <c r="AI29" s="35">
        <v>1.7000000000000001E-2</v>
      </c>
      <c r="AJ29" s="35">
        <v>9.4E-2</v>
      </c>
      <c r="AK29" s="40"/>
      <c r="AL29" s="41">
        <f t="shared" si="3"/>
        <v>0.17499999999999999</v>
      </c>
      <c r="AM29" s="41">
        <f t="shared" si="5"/>
        <v>1.488</v>
      </c>
      <c r="AN29" s="41">
        <f t="shared" si="4"/>
        <v>0</v>
      </c>
    </row>
    <row r="30" spans="1:40" x14ac:dyDescent="0.25">
      <c r="A30" s="34" t="s">
        <v>33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37"/>
      <c r="N30" s="38"/>
      <c r="O30" s="39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>
        <v>1.3740000000000001</v>
      </c>
      <c r="AJ30" s="35">
        <v>10.654</v>
      </c>
      <c r="AK30" s="40"/>
      <c r="AL30" s="41">
        <f t="shared" si="3"/>
        <v>1.3740000000000001</v>
      </c>
      <c r="AM30" s="41">
        <f t="shared" si="5"/>
        <v>10.654</v>
      </c>
      <c r="AN30" s="41">
        <f t="shared" si="4"/>
        <v>0</v>
      </c>
    </row>
    <row r="31" spans="1:40" x14ac:dyDescent="0.25">
      <c r="A31" s="34" t="s">
        <v>34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37"/>
      <c r="N31" s="38"/>
      <c r="O31" s="39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>
        <v>2.71</v>
      </c>
      <c r="AJ31" s="35">
        <v>2.91</v>
      </c>
      <c r="AK31" s="40"/>
      <c r="AL31" s="41">
        <f t="shared" si="3"/>
        <v>2.71</v>
      </c>
      <c r="AM31" s="41">
        <f t="shared" si="5"/>
        <v>2.91</v>
      </c>
      <c r="AN31" s="41">
        <f t="shared" si="4"/>
        <v>0</v>
      </c>
    </row>
    <row r="32" spans="1:40" x14ac:dyDescent="0.25">
      <c r="A32" s="34" t="s">
        <v>35</v>
      </c>
      <c r="B32" s="35">
        <v>1.0999999999999999E-2</v>
      </c>
      <c r="C32" s="35"/>
      <c r="D32" s="35">
        <f>0.0277777777777778/180</f>
        <v>1.5432098765432112E-4</v>
      </c>
      <c r="E32" s="35">
        <v>7.0000000000000001E-3</v>
      </c>
      <c r="F32" s="35"/>
      <c r="G32" s="35">
        <f>0.0428571428571429/210</f>
        <v>2.0408163265306142E-4</v>
      </c>
      <c r="H32" s="35"/>
      <c r="I32" s="35"/>
      <c r="J32" s="35"/>
      <c r="K32" s="35">
        <v>3.1E-2</v>
      </c>
      <c r="L32" s="36"/>
      <c r="M32" s="37">
        <f>0.108571428571429/175</f>
        <v>6.2040816326530853E-4</v>
      </c>
      <c r="N32" s="38">
        <v>3.4000000000000002E-2</v>
      </c>
      <c r="O32" s="39"/>
      <c r="P32" s="35">
        <f>0.875/80</f>
        <v>1.0937499999999999E-2</v>
      </c>
      <c r="Q32" s="35"/>
      <c r="R32" s="35"/>
      <c r="S32" s="35"/>
      <c r="T32" s="35">
        <v>1.7000000000000001E-2</v>
      </c>
      <c r="U32" s="35">
        <v>16.5</v>
      </c>
      <c r="V32" s="35"/>
      <c r="W32" s="35">
        <v>3.7999999999999999E-2</v>
      </c>
      <c r="X32" s="35"/>
      <c r="Y32" s="35">
        <f>0.246153846153846/130</f>
        <v>1.8934911242603539E-3</v>
      </c>
      <c r="Z32" s="35">
        <v>2.5000000000000001E-2</v>
      </c>
      <c r="AA32" s="35"/>
      <c r="AB32" s="35">
        <f>0.184615384615385/130</f>
        <v>1.420118343195269E-3</v>
      </c>
      <c r="AC32" s="35"/>
      <c r="AD32" s="35"/>
      <c r="AE32" s="35"/>
      <c r="AF32" s="35"/>
      <c r="AG32" s="35"/>
      <c r="AH32" s="35"/>
      <c r="AI32" s="35">
        <v>7.9000000000000001E-2</v>
      </c>
      <c r="AJ32" s="35"/>
      <c r="AK32" s="40">
        <f>0.438888888888889/180</f>
        <v>2.4382716049382723E-3</v>
      </c>
      <c r="AL32" s="41">
        <f t="shared" si="3"/>
        <v>0.24199999999999999</v>
      </c>
      <c r="AM32" s="41">
        <f t="shared" si="5"/>
        <v>16.5</v>
      </c>
      <c r="AN32" s="41">
        <f t="shared" si="4"/>
        <v>1.7668191855966586E-2</v>
      </c>
    </row>
    <row r="33" spans="1:40" ht="15.75" x14ac:dyDescent="0.25">
      <c r="A33" s="34" t="s">
        <v>36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27">
        <v>55.03</v>
      </c>
      <c r="AJ33" s="27">
        <v>343.65</v>
      </c>
      <c r="AK33" s="27">
        <f>2317.304/180</f>
        <v>12.873911111111111</v>
      </c>
      <c r="AL33" s="41">
        <f t="shared" si="3"/>
        <v>55.03</v>
      </c>
      <c r="AM33" s="41">
        <f t="shared" si="5"/>
        <v>343.65</v>
      </c>
      <c r="AN33" s="41">
        <f t="shared" si="4"/>
        <v>12.873911111111111</v>
      </c>
    </row>
    <row r="34" spans="1:40" x14ac:dyDescent="0.25">
      <c r="A34" s="45" t="s">
        <v>218</v>
      </c>
      <c r="B34" s="35"/>
      <c r="C34" s="35"/>
      <c r="D34" s="35"/>
      <c r="E34" s="35"/>
      <c r="F34" s="35"/>
      <c r="G34" s="35"/>
      <c r="H34" s="35">
        <v>1.3280000000000001</v>
      </c>
      <c r="I34" s="35">
        <v>2.718</v>
      </c>
      <c r="J34" s="35"/>
      <c r="K34" s="35">
        <v>4.9000000000000002E-2</v>
      </c>
      <c r="L34" s="36"/>
      <c r="M34" s="37">
        <f>6.00571428571429/175</f>
        <v>3.43183673469388E-2</v>
      </c>
      <c r="N34" s="38"/>
      <c r="O34" s="39"/>
      <c r="P34" s="35"/>
      <c r="Q34" s="35">
        <v>0.64600000000000002</v>
      </c>
      <c r="R34" s="35">
        <v>1.8440000000000001</v>
      </c>
      <c r="S34" s="35"/>
      <c r="T34" s="35">
        <v>2.61</v>
      </c>
      <c r="U34" s="35">
        <v>9.6270000000000007</v>
      </c>
      <c r="V34" s="35"/>
      <c r="W34" s="35"/>
      <c r="X34" s="35"/>
      <c r="Y34" s="35"/>
      <c r="Z34" s="35">
        <v>0.80200000000000005</v>
      </c>
      <c r="AA34" s="35">
        <v>1.002</v>
      </c>
      <c r="AB34" s="35"/>
      <c r="AC34" s="35">
        <v>1.4999999999999999E-2</v>
      </c>
      <c r="AD34" s="35">
        <v>7.1999999999999995E-2</v>
      </c>
      <c r="AE34" s="35"/>
      <c r="AF34" s="35"/>
      <c r="AG34" s="35"/>
      <c r="AH34" s="35"/>
      <c r="AI34" s="35">
        <v>2.391</v>
      </c>
      <c r="AJ34" s="35">
        <v>7.1310000000000002</v>
      </c>
      <c r="AK34" s="40"/>
      <c r="AL34" s="41">
        <f t="shared" si="3"/>
        <v>7.8410000000000002</v>
      </c>
      <c r="AM34" s="41">
        <f t="shared" si="5"/>
        <v>22.393999999999998</v>
      </c>
      <c r="AN34" s="41">
        <f t="shared" si="4"/>
        <v>3.43183673469388E-2</v>
      </c>
    </row>
    <row r="35" spans="1:40" x14ac:dyDescent="0.25">
      <c r="A35" s="34" t="s">
        <v>37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37"/>
      <c r="N35" s="38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40"/>
      <c r="AL35" s="41">
        <f t="shared" si="3"/>
        <v>0</v>
      </c>
      <c r="AM35" s="41">
        <f t="shared" si="5"/>
        <v>0</v>
      </c>
      <c r="AN35" s="41">
        <f t="shared" si="4"/>
        <v>0</v>
      </c>
    </row>
    <row r="36" spans="1:40" x14ac:dyDescent="0.25">
      <c r="A36" s="34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37"/>
      <c r="N36" s="38">
        <v>3.21</v>
      </c>
      <c r="O36" s="39"/>
      <c r="P36" s="35">
        <f>0.0375/80</f>
        <v>4.6874999999999998E-4</v>
      </c>
      <c r="Q36" s="35"/>
      <c r="R36" s="35"/>
      <c r="S36" s="35"/>
      <c r="T36" s="35">
        <v>3.6019999999999999</v>
      </c>
      <c r="U36" s="35">
        <v>7.2039999999999997</v>
      </c>
      <c r="V36" s="35"/>
      <c r="W36" s="35"/>
      <c r="X36" s="35"/>
      <c r="Y36" s="35"/>
      <c r="Z36" s="35">
        <v>10.393000000000001</v>
      </c>
      <c r="AA36" s="35">
        <v>27.111999999999998</v>
      </c>
      <c r="AB36" s="35">
        <f>0.0153846153846154/130</f>
        <v>1.183431952662723E-4</v>
      </c>
      <c r="AC36" s="35"/>
      <c r="AD36" s="35"/>
      <c r="AE36" s="35"/>
      <c r="AF36" s="35"/>
      <c r="AG36" s="35"/>
      <c r="AH36" s="35"/>
      <c r="AI36" s="35"/>
      <c r="AJ36" s="35"/>
      <c r="AK36" s="40"/>
      <c r="AL36" s="41">
        <f t="shared" si="3"/>
        <v>17.204999999999998</v>
      </c>
      <c r="AM36" s="41">
        <f t="shared" si="5"/>
        <v>34.315999999999995</v>
      </c>
      <c r="AN36" s="41">
        <f t="shared" si="4"/>
        <v>5.8709319526627224E-4</v>
      </c>
    </row>
    <row r="37" spans="1:40" x14ac:dyDescent="0.25">
      <c r="A37" s="34" t="s">
        <v>88</v>
      </c>
      <c r="B37" s="35"/>
      <c r="C37" s="35"/>
      <c r="D37" s="35"/>
      <c r="E37" s="35">
        <v>3.3000000000000002E-2</v>
      </c>
      <c r="F37" s="35"/>
      <c r="G37" s="35">
        <f>1.16666666666667/210</f>
        <v>5.5555555555555714E-3</v>
      </c>
      <c r="H37" s="35"/>
      <c r="I37" s="35"/>
      <c r="J37" s="35"/>
      <c r="K37" s="35">
        <v>9.0999999999999998E-2</v>
      </c>
      <c r="L37" s="36"/>
      <c r="M37" s="37">
        <f>5.57142857142857/175</f>
        <v>3.1836734693877544E-2</v>
      </c>
      <c r="N37" s="38">
        <v>0.48399999999999999</v>
      </c>
      <c r="O37" s="39"/>
      <c r="P37" s="35">
        <f>7.875/80</f>
        <v>9.8437499999999997E-2</v>
      </c>
      <c r="Q37" s="35"/>
      <c r="R37" s="35"/>
      <c r="S37" s="35"/>
      <c r="T37" s="35">
        <v>0.68500000000000005</v>
      </c>
      <c r="U37" s="35">
        <v>1.47</v>
      </c>
      <c r="V37" s="35"/>
      <c r="W37" s="35"/>
      <c r="X37" s="35"/>
      <c r="Y37" s="35"/>
      <c r="Z37" s="35">
        <v>0.16300000000000001</v>
      </c>
      <c r="AA37" s="35">
        <v>0.16</v>
      </c>
      <c r="AB37" s="35"/>
      <c r="AC37" s="35">
        <v>2.7E-2</v>
      </c>
      <c r="AD37" s="35">
        <v>0.32400000000000001</v>
      </c>
      <c r="AE37" s="35"/>
      <c r="AF37" s="35"/>
      <c r="AG37" s="35"/>
      <c r="AH37" s="35"/>
      <c r="AI37" s="35">
        <v>0.14199999999999999</v>
      </c>
      <c r="AJ37" s="35">
        <v>0.13300000000000001</v>
      </c>
      <c r="AK37" s="40">
        <f>0.0722222222222222/180</f>
        <v>4.0123456790123444E-4</v>
      </c>
      <c r="AL37" s="41">
        <f t="shared" si="3"/>
        <v>1.625</v>
      </c>
      <c r="AM37" s="41">
        <f t="shared" si="5"/>
        <v>2.0869999999999997</v>
      </c>
      <c r="AN37" s="41">
        <f t="shared" si="4"/>
        <v>0.13623102481733435</v>
      </c>
    </row>
    <row r="38" spans="1:40" x14ac:dyDescent="0.25">
      <c r="A38" s="34" t="s">
        <v>39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37">
        <v>0</v>
      </c>
      <c r="N38" s="38"/>
      <c r="O38" s="39"/>
      <c r="P38" s="35">
        <v>0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>
        <v>25.32</v>
      </c>
      <c r="AJ38" s="35">
        <v>68.150000000000006</v>
      </c>
      <c r="AK38" s="40">
        <f>148.027777777778/180</f>
        <v>0.82237654320987774</v>
      </c>
      <c r="AL38" s="41">
        <f t="shared" si="3"/>
        <v>25.32</v>
      </c>
      <c r="AM38" s="41">
        <f t="shared" si="5"/>
        <v>68.150000000000006</v>
      </c>
      <c r="AN38" s="41">
        <f t="shared" si="4"/>
        <v>0.82237654320987774</v>
      </c>
    </row>
    <row r="39" spans="1:40" x14ac:dyDescent="0.25">
      <c r="A39" s="46" t="s">
        <v>52</v>
      </c>
      <c r="B39" s="47">
        <f>SUM(B4:B38)</f>
        <v>0.11659999999999998</v>
      </c>
      <c r="C39" s="47">
        <f t="shared" ref="C39:AN39" si="6">SUM(C4:C38)</f>
        <v>0.41599999999999998</v>
      </c>
      <c r="D39" s="47">
        <f t="shared" si="6"/>
        <v>1.6188271604938267E-2</v>
      </c>
      <c r="E39" s="47">
        <f t="shared" si="6"/>
        <v>0.23399999999999999</v>
      </c>
      <c r="F39" s="47">
        <f t="shared" si="6"/>
        <v>0.61399999999999999</v>
      </c>
      <c r="G39" s="47">
        <f t="shared" si="6"/>
        <v>2.476417233560092E-2</v>
      </c>
      <c r="H39" s="47">
        <f t="shared" si="6"/>
        <v>10.701999999999998</v>
      </c>
      <c r="I39" s="47">
        <f t="shared" si="6"/>
        <v>106.21200000000002</v>
      </c>
      <c r="J39" s="47">
        <f t="shared" si="6"/>
        <v>3.3518518518518517E-2</v>
      </c>
      <c r="K39" s="47">
        <f t="shared" si="6"/>
        <v>0.90100000000000013</v>
      </c>
      <c r="L39" s="47">
        <f t="shared" si="6"/>
        <v>4</v>
      </c>
      <c r="M39" s="47">
        <f t="shared" si="6"/>
        <v>0.1248122448979592</v>
      </c>
      <c r="N39" s="47">
        <f t="shared" si="6"/>
        <v>11.161</v>
      </c>
      <c r="O39" s="47">
        <f t="shared" si="6"/>
        <v>47.32</v>
      </c>
      <c r="P39" s="47">
        <f t="shared" si="6"/>
        <v>29.798620312500002</v>
      </c>
      <c r="Q39" s="47">
        <f t="shared" si="6"/>
        <v>9.9059999999999988</v>
      </c>
      <c r="R39" s="47">
        <f t="shared" si="6"/>
        <v>56.131</v>
      </c>
      <c r="S39" s="47">
        <f t="shared" si="6"/>
        <v>9.5987654320987791E-3</v>
      </c>
      <c r="T39" s="47">
        <f t="shared" si="6"/>
        <v>54.896000000000001</v>
      </c>
      <c r="U39" s="47">
        <f t="shared" si="6"/>
        <v>485.13980000000004</v>
      </c>
      <c r="V39" s="47">
        <f t="shared" si="6"/>
        <v>2.3765432098765447E-2</v>
      </c>
      <c r="W39" s="47">
        <f t="shared" si="6"/>
        <v>0.46500000000000002</v>
      </c>
      <c r="X39" s="47">
        <f t="shared" si="6"/>
        <v>2.496</v>
      </c>
      <c r="Y39" s="47">
        <f t="shared" si="6"/>
        <v>4.2310650887573999E-2</v>
      </c>
      <c r="Z39" s="47">
        <f t="shared" si="6"/>
        <v>26.377500000000001</v>
      </c>
      <c r="AA39" s="47">
        <f t="shared" si="6"/>
        <v>92.176999999999992</v>
      </c>
      <c r="AB39" s="47">
        <f t="shared" si="6"/>
        <v>28.337038165680472</v>
      </c>
      <c r="AC39" s="47">
        <f t="shared" si="6"/>
        <v>6.6529999999999987</v>
      </c>
      <c r="AD39" s="47">
        <f t="shared" si="6"/>
        <v>39.859000000000002</v>
      </c>
      <c r="AE39" s="47">
        <f t="shared" si="6"/>
        <v>3.2970432098765448E-2</v>
      </c>
      <c r="AF39" s="47">
        <f t="shared" si="6"/>
        <v>1.7999999999999999E-2</v>
      </c>
      <c r="AG39" s="47">
        <f t="shared" si="6"/>
        <v>0</v>
      </c>
      <c r="AH39" s="47">
        <f t="shared" si="6"/>
        <v>0</v>
      </c>
      <c r="AI39" s="47">
        <f t="shared" si="6"/>
        <v>124.69980000000001</v>
      </c>
      <c r="AJ39" s="47">
        <f t="shared" si="6"/>
        <v>804.64545999999996</v>
      </c>
      <c r="AK39" s="47">
        <f t="shared" si="6"/>
        <v>46.901574172839517</v>
      </c>
      <c r="AL39" s="47">
        <f t="shared" si="6"/>
        <v>246.12990000000002</v>
      </c>
      <c r="AM39" s="47">
        <f t="shared" si="6"/>
        <v>1639.0203706405009</v>
      </c>
      <c r="AN39" s="47">
        <f t="shared" si="6"/>
        <v>105.34516113889421</v>
      </c>
    </row>
    <row r="40" spans="1:40" ht="15.75" x14ac:dyDescent="0.25">
      <c r="A40" s="83" t="s">
        <v>267</v>
      </c>
      <c r="G40" s="48"/>
    </row>
    <row r="41" spans="1:40" ht="15.75" x14ac:dyDescent="0.25">
      <c r="A41" s="83" t="s">
        <v>268</v>
      </c>
    </row>
  </sheetData>
  <mergeCells count="26">
    <mergeCell ref="B1:D1"/>
    <mergeCell ref="E1:G1"/>
    <mergeCell ref="H1:J1"/>
    <mergeCell ref="K1:M1"/>
    <mergeCell ref="N1:P1"/>
    <mergeCell ref="R2:S2"/>
    <mergeCell ref="Q1:S1"/>
    <mergeCell ref="C2:D2"/>
    <mergeCell ref="F2:G2"/>
    <mergeCell ref="I2:J2"/>
    <mergeCell ref="AL1:AN1"/>
    <mergeCell ref="AC1:AE1"/>
    <mergeCell ref="AF1:AH1"/>
    <mergeCell ref="AI1:AK1"/>
    <mergeCell ref="U2:V2"/>
    <mergeCell ref="X2:Y2"/>
    <mergeCell ref="AA2:AB2"/>
    <mergeCell ref="T1:V1"/>
    <mergeCell ref="W1:Y1"/>
    <mergeCell ref="Z1:AB1"/>
    <mergeCell ref="L2:M2"/>
    <mergeCell ref="O2:P2"/>
    <mergeCell ref="AD2:AE2"/>
    <mergeCell ref="AG2:AH2"/>
    <mergeCell ref="AJ2:AK2"/>
    <mergeCell ref="AM2:AN2"/>
  </mergeCells>
  <pageMargins left="0.196850393700787" right="0.196850393700787" top="0.79" bottom="0.39370078740157499" header="0.45" footer="0.196850393700787"/>
  <pageSetup paperSize="9" scale="84" orientation="landscape" r:id="rId1"/>
  <headerFooter alignWithMargins="0">
    <oddHeader>&amp;C&amp;"Arial,Bold"&amp;14Area and Production of Flowers for 2013-14 (Final)&amp;RArea in '000 Ha
Production in '000 Tonnes</oddHeader>
    <oddFooter>&amp;L&amp;C&amp;R</oddFooter>
  </headerFooter>
  <colBreaks count="2" manualBreakCount="2">
    <brk id="16" max="1048575" man="1"/>
    <brk id="31" max="1048575" man="1"/>
  </colBreaks>
  <ignoredErrors>
    <ignoredError sqref="AL4:AO15 AL16:AN38 D39:AN39 B39:C39 D7 D13 D19 D25:D26 D32 G7 G16 G19 G25:G26 G32 G37 J7 J15:J16 J25 M7:M38 P7:P38 S7 V7 Y7:Y38 AB5:AB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 Horticulture 2014-15(Final)</vt:lpstr>
      <vt:lpstr> Fruits 2014-15(Final)</vt:lpstr>
      <vt:lpstr> Citrus 2014-15(Final)</vt:lpstr>
      <vt:lpstr>Vegetables 2014-15(Final)</vt:lpstr>
      <vt:lpstr> Plantations 2014-15(Final)</vt:lpstr>
      <vt:lpstr> Spices 2014-15(Final)</vt:lpstr>
      <vt:lpstr>Flowers 2014-15(Final)</vt:lpstr>
      <vt:lpstr>Flowers 2014-15(Final) in Nos.</vt:lpstr>
      <vt:lpstr>Sheet1</vt:lpstr>
      <vt:lpstr>' Fruits 2014-15(Final)'!Print_Area</vt:lpstr>
      <vt:lpstr>' Plantations 2014-15(Final)'!Print_Area</vt:lpstr>
      <vt:lpstr>Summary!Print_Area</vt:lpstr>
      <vt:lpstr>'Vegetables 2014-15(Final)'!Print_Area</vt:lpstr>
      <vt:lpstr>' Fruits 2014-15(Final)'!Print_Titles</vt:lpstr>
      <vt:lpstr>' Spices 2014-15(Final)'!Print_Titles</vt:lpstr>
      <vt:lpstr>'Flowers 2014-15(Final)'!Print_Titles</vt:lpstr>
      <vt:lpstr>'Flowers 2014-15(Final) in Nos.'!Print_Titles</vt:lpstr>
      <vt:lpstr>Summary!Print_Titles</vt:lpstr>
      <vt:lpstr>'Vegetables 2014-15(Final)'!Print_Titles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</dc:creator>
  <cp:lastModifiedBy>NeGPA</cp:lastModifiedBy>
  <cp:lastPrinted>2017-04-17T04:54:09Z</cp:lastPrinted>
  <dcterms:created xsi:type="dcterms:W3CDTF">2009-01-06T09:24:05Z</dcterms:created>
  <dcterms:modified xsi:type="dcterms:W3CDTF">2017-04-19T10:43:42Z</dcterms:modified>
</cp:coreProperties>
</file>